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816" yWindow="540" windowWidth="25320" windowHeight="12360" activeTab="0"/>
  </bookViews>
  <sheets>
    <sheet name="Warranty Step 1" sheetId="1" r:id="rId1"/>
    <sheet name="Warranty Step 2" sheetId="2" r:id="rId2"/>
  </sheets>
  <definedNames/>
  <calcPr fullCalcOnLoad="1"/>
</workbook>
</file>

<file path=xl/sharedStrings.xml><?xml version="1.0" encoding="utf-8"?>
<sst xmlns="http://schemas.openxmlformats.org/spreadsheetml/2006/main" count="30" uniqueCount="25">
  <si>
    <t>Month</t>
  </si>
  <si>
    <t>Experience Time (Months)</t>
  </si>
  <si>
    <t>Encoding to copy/paste into Input Box 1</t>
  </si>
  <si>
    <t>Narrative Description</t>
  </si>
  <si>
    <t>Shipments</t>
  </si>
  <si>
    <t>Current Age (Months)</t>
  </si>
  <si>
    <t>% Failing Within 1 Additional Months</t>
  </si>
  <si>
    <t>% Failing Within 2 Additional Months</t>
  </si>
  <si>
    <t>% Failing Within 3 Additional Months</t>
  </si>
  <si>
    <t>% Failing Within 4 Additional Months</t>
  </si>
  <si>
    <t>% Failing Within 5 Additional Months</t>
  </si>
  <si>
    <t>% Failing Within 6 Additional Months</t>
  </si>
  <si>
    <t>% Failing Within 7 Additional Months</t>
  </si>
  <si>
    <t>% Failing Within 8 Additional Months</t>
  </si>
  <si>
    <t>% Failing Within 9 Additional Months</t>
  </si>
  <si>
    <t>% Failing Within 10 Additional Months</t>
  </si>
  <si>
    <t>% Failing Within 11 Additional Months</t>
  </si>
  <si>
    <t>% Failing Within 12 Additional Months</t>
  </si>
  <si>
    <t>Returns</t>
  </si>
  <si>
    <t>Total</t>
  </si>
  <si>
    <t>Age</t>
  </si>
  <si>
    <t>% Failing Within 0 Additional Months</t>
  </si>
  <si>
    <t>Predicted Returns</t>
  </si>
  <si>
    <r>
      <t>Step 1A: Enter monthly shipment and return data as shown in range B4:K24 shown below.  
Step 1B. Copy/paste the resulting encoding shown in columns O and Q into Box 1 of the Weibull Analysis Tool (</t>
    </r>
    <r>
      <rPr>
        <b/>
        <u val="single"/>
        <sz val="12"/>
        <color indexed="62"/>
        <rFont val="Calibri"/>
        <family val="2"/>
      </rPr>
      <t>http://reliabilityanalyticstoolkit.appspot.com/weibull_analysis</t>
    </r>
    <r>
      <rPr>
        <b/>
        <sz val="12"/>
        <color indexed="8"/>
        <rFont val="Calibri"/>
        <family val="2"/>
      </rPr>
      <t xml:space="preserve">) to calculate the Weibull parameters associated the data set.
See "Warranty Step 2" tab to calculate expected monthly warranty returns. </t>
    </r>
  </si>
  <si>
    <r>
      <t>Step 2A.  Enter the Weibull parameters calculated from the "Warranty Step 1" tab into the Conditional Weibull Distribution Survival Table tool (</t>
    </r>
    <r>
      <rPr>
        <b/>
        <u val="single"/>
        <sz val="12"/>
        <color indexed="62"/>
        <rFont val="Calibri"/>
        <family val="2"/>
      </rPr>
      <t>http://reliabilityanalyticstoolkit.appspot.com/conditional_weibull_distribution_survival_table</t>
    </r>
    <r>
      <rPr>
        <b/>
        <sz val="12"/>
        <color indexed="8"/>
        <rFont val="Calibri"/>
        <family val="2"/>
      </rPr>
      <t xml:space="preserve">) and set other inputs as shown in the picture below.
Step 2B. Copy/Paste resulting Excel F(t) table output into Range L27:Y37 below, </t>
    </r>
    <r>
      <rPr>
        <b/>
        <u val="single"/>
        <sz val="12"/>
        <color indexed="8"/>
        <rFont val="Calibri"/>
        <family val="2"/>
      </rPr>
      <t>then sort this table on Current Age,</t>
    </r>
    <r>
      <rPr>
        <b/>
        <sz val="12"/>
        <color indexed="8"/>
        <rFont val="Calibri"/>
        <family val="2"/>
      </rPr>
      <t xml:space="preserve"> from Largest to Smallest.
Step 2C.  Enter the following formula into cell M4 and drag-fill to lower right corner: =($B4-SUM($C4:$K4))*(N28-M28)/100. 
Step 2D.  Delete any non-relevant calculations for months where the items have come off warranty or have not yet shipped, resulting in a "stair step" table as shown below.
This example assumes we are currently in Dec 2012 and want to forecast monthly warranty returns for the year 2013.  The item has a 12 month warranty. The green shaded cells represent expected monthly warranty returns for items shipped during 2012.  The table "steps down" because of shipments coming off their 12 month warranty.  The tan shaded cells represent expected returns based on expected 2013 shipments.
Note: The Excel table output by the Conditional Weibull Distribution Survival Table tool represents the cumulative probability of failure.  The probability of failure for any given month is F(t+1) - F(t). For example, for Mar-12 shipments, the percentage of failures expected in Feb-13 is, for items of age 9 months shown in row 28,  3.2494% - 1.5405% = 1.7088%.  As of Dec-12 there were a total of 23 returns out of 436 items shipped, resulting in 436 - 23 = 413 items in service as of Jan 1, 2013. For the month of Feb-13, the expected returns are 0.017088 * 313 = 7 Returns, as calculated in cell N4 below.</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</si>
</sst>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s>
  <fonts count="52">
    <font>
      <sz val="11"/>
      <color theme="1"/>
      <name val="Calibri"/>
      <family val="2"/>
    </font>
    <font>
      <sz val="11"/>
      <color indexed="8"/>
      <name val="Calibri"/>
      <family val="2"/>
    </font>
    <font>
      <b/>
      <sz val="12"/>
      <color indexed="8"/>
      <name val="Calibri"/>
      <family val="2"/>
    </font>
    <font>
      <b/>
      <u val="single"/>
      <sz val="12"/>
      <color indexed="62"/>
      <name val="Calibri"/>
      <family val="2"/>
    </font>
    <font>
      <b/>
      <u val="single"/>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sz val="12"/>
      <color indexed="8"/>
      <name val="Calibri"/>
      <family val="2"/>
    </font>
    <font>
      <sz val="14"/>
      <color indexed="8"/>
      <name val="Calibri"/>
      <family val="2"/>
    </font>
    <font>
      <u val="single"/>
      <sz val="14"/>
      <color indexed="12"/>
      <name val="Calibri"/>
      <family val="2"/>
    </font>
    <font>
      <sz val="10"/>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sz val="12"/>
      <color theme="1"/>
      <name val="Calibri"/>
      <family val="2"/>
    </font>
    <font>
      <sz val="14"/>
      <color theme="1"/>
      <name val="Calibri"/>
      <family val="2"/>
    </font>
    <font>
      <u val="single"/>
      <sz val="14"/>
      <color theme="10"/>
      <name val="Calibri"/>
      <family val="2"/>
    </font>
    <font>
      <b/>
      <sz val="12"/>
      <color theme="1"/>
      <name val="Calibri"/>
      <family val="2"/>
    </font>
    <font>
      <sz val="10"/>
      <color theme="1"/>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3">
    <xf numFmtId="0" fontId="0" fillId="0" borderId="0" xfId="0" applyFont="1" applyAlignment="1">
      <alignment/>
    </xf>
    <xf numFmtId="0" fontId="0" fillId="0" borderId="0" xfId="0" applyAlignment="1">
      <alignment horizontal="center"/>
    </xf>
    <xf numFmtId="3" fontId="0" fillId="0" borderId="0" xfId="0" applyNumberFormat="1" applyAlignment="1">
      <alignment horizontal="center"/>
    </xf>
    <xf numFmtId="0" fontId="0" fillId="0" borderId="0" xfId="0" applyFont="1" applyAlignment="1">
      <alignment horizontal="center" vertical="center" wrapText="1"/>
    </xf>
    <xf numFmtId="3" fontId="0" fillId="0" borderId="0" xfId="0" applyNumberFormat="1" applyFont="1" applyAlignment="1">
      <alignment horizontal="center"/>
    </xf>
    <xf numFmtId="3" fontId="0" fillId="0" borderId="0" xfId="0" applyNumberFormat="1" applyFont="1" applyAlignment="1">
      <alignment horizontal="left"/>
    </xf>
    <xf numFmtId="0" fontId="0" fillId="0" borderId="0" xfId="0" applyFont="1" applyAlignment="1">
      <alignment horizontal="center"/>
    </xf>
    <xf numFmtId="0" fontId="0" fillId="0" borderId="0" xfId="0" applyFont="1" applyAlignment="1">
      <alignment/>
    </xf>
    <xf numFmtId="3" fontId="0" fillId="33" borderId="0" xfId="0" applyNumberFormat="1" applyFill="1" applyAlignment="1">
      <alignment horizontal="center"/>
    </xf>
    <xf numFmtId="0" fontId="0" fillId="0" borderId="10" xfId="0" applyBorder="1" applyAlignment="1">
      <alignment/>
    </xf>
    <xf numFmtId="0" fontId="45" fillId="0" borderId="0" xfId="0" applyFont="1" applyAlignment="1">
      <alignment wrapText="1"/>
    </xf>
    <xf numFmtId="0" fontId="45" fillId="0" borderId="0" xfId="0" applyFont="1" applyAlignment="1">
      <alignment horizontal="center" wrapText="1"/>
    </xf>
    <xf numFmtId="3" fontId="0" fillId="0" borderId="0" xfId="0" applyNumberFormat="1" applyAlignment="1">
      <alignment/>
    </xf>
    <xf numFmtId="3" fontId="0" fillId="13" borderId="0" xfId="0" applyNumberFormat="1" applyFill="1" applyAlignment="1">
      <alignment horizontal="center"/>
    </xf>
    <xf numFmtId="3" fontId="0" fillId="13" borderId="10" xfId="0" applyNumberFormat="1" applyFill="1" applyBorder="1" applyAlignment="1">
      <alignment horizontal="center"/>
    </xf>
    <xf numFmtId="0" fontId="46" fillId="0" borderId="0" xfId="0" applyFont="1" applyAlignment="1">
      <alignment wrapText="1"/>
    </xf>
    <xf numFmtId="17" fontId="46" fillId="0" borderId="0" xfId="0" applyNumberFormat="1" applyFont="1" applyAlignment="1">
      <alignment horizontal="center" wrapText="1"/>
    </xf>
    <xf numFmtId="0" fontId="46" fillId="0" borderId="0" xfId="0" applyFont="1" applyAlignment="1">
      <alignment/>
    </xf>
    <xf numFmtId="17" fontId="46" fillId="0" borderId="0" xfId="0" applyNumberFormat="1" applyFont="1" applyAlignment="1">
      <alignment horizontal="center"/>
    </xf>
    <xf numFmtId="0" fontId="46" fillId="0" borderId="0" xfId="0" applyFont="1" applyAlignment="1">
      <alignment horizontal="center"/>
    </xf>
    <xf numFmtId="3" fontId="46" fillId="0" borderId="0" xfId="0" applyNumberFormat="1" applyFont="1" applyAlignment="1">
      <alignment horizontal="center"/>
    </xf>
    <xf numFmtId="17" fontId="46" fillId="0" borderId="10" xfId="0" applyNumberFormat="1" applyFont="1" applyBorder="1" applyAlignment="1">
      <alignment horizontal="center"/>
    </xf>
    <xf numFmtId="3" fontId="46" fillId="0" borderId="0" xfId="0" applyNumberFormat="1" applyFont="1" applyAlignment="1">
      <alignment/>
    </xf>
    <xf numFmtId="0" fontId="46" fillId="0" borderId="10" xfId="0" applyFont="1" applyBorder="1" applyAlignment="1">
      <alignment horizontal="center"/>
    </xf>
    <xf numFmtId="0" fontId="47" fillId="0" borderId="0" xfId="0" applyFont="1" applyAlignment="1">
      <alignment/>
    </xf>
    <xf numFmtId="0" fontId="48" fillId="0" borderId="0" xfId="52" applyFont="1" applyAlignment="1" applyProtection="1">
      <alignment/>
      <protection/>
    </xf>
    <xf numFmtId="3" fontId="49" fillId="0" borderId="0" xfId="0" applyNumberFormat="1" applyFont="1" applyAlignment="1">
      <alignment/>
    </xf>
    <xf numFmtId="3" fontId="49" fillId="0" borderId="0" xfId="0" applyNumberFormat="1" applyFont="1" applyAlignment="1">
      <alignment horizontal="center"/>
    </xf>
    <xf numFmtId="3" fontId="49" fillId="0" borderId="10" xfId="0" applyNumberFormat="1" applyFont="1" applyBorder="1" applyAlignment="1">
      <alignment horizontal="center"/>
    </xf>
    <xf numFmtId="0" fontId="43" fillId="34" borderId="0" xfId="0" applyFont="1" applyFill="1" applyAlignment="1">
      <alignment horizontal="center" vertical="center" wrapText="1"/>
    </xf>
    <xf numFmtId="3" fontId="43" fillId="0" borderId="0" xfId="0" applyNumberFormat="1" applyFont="1" applyAlignment="1">
      <alignment/>
    </xf>
    <xf numFmtId="164" fontId="0" fillId="0" borderId="0" xfId="0" applyNumberFormat="1" applyAlignment="1">
      <alignment horizontal="center"/>
    </xf>
    <xf numFmtId="164" fontId="50" fillId="0" borderId="0" xfId="0" applyNumberFormat="1" applyFont="1" applyAlignment="1">
      <alignment horizontal="center" wrapText="1"/>
    </xf>
    <xf numFmtId="1" fontId="0" fillId="0" borderId="0" xfId="0" applyNumberFormat="1" applyAlignment="1">
      <alignment horizontal="center"/>
    </xf>
    <xf numFmtId="3" fontId="51" fillId="0" borderId="0" xfId="0" applyNumberFormat="1" applyFont="1" applyAlignment="1">
      <alignment horizontal="center" wrapText="1"/>
    </xf>
    <xf numFmtId="0" fontId="43" fillId="0" borderId="0" xfId="0" applyFont="1" applyAlignment="1">
      <alignment vertical="center"/>
    </xf>
    <xf numFmtId="164" fontId="46" fillId="0" borderId="0" xfId="0" applyNumberFormat="1" applyFont="1" applyAlignment="1">
      <alignment/>
    </xf>
    <xf numFmtId="0" fontId="51" fillId="0" borderId="10" xfId="0" applyFont="1" applyBorder="1" applyAlignment="1">
      <alignment horizontal="center"/>
    </xf>
    <xf numFmtId="0" fontId="49" fillId="0" borderId="11" xfId="0" applyFont="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0" xfId="0" applyBorder="1" applyAlignment="1">
      <alignment/>
    </xf>
    <xf numFmtId="3" fontId="49" fillId="0" borderId="11" xfId="0" applyNumberFormat="1" applyFont="1"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emf" /><Relationship Id="rId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114300</xdr:colOff>
      <xdr:row>13</xdr:row>
      <xdr:rowOff>152400</xdr:rowOff>
    </xdr:from>
    <xdr:to>
      <xdr:col>19</xdr:col>
      <xdr:colOff>285750</xdr:colOff>
      <xdr:row>43</xdr:row>
      <xdr:rowOff>133350</xdr:rowOff>
    </xdr:to>
    <xdr:pic>
      <xdr:nvPicPr>
        <xdr:cNvPr id="1" name="Picture 8"/>
        <xdr:cNvPicPr preferRelativeResize="1">
          <a:picLocks noChangeAspect="1"/>
        </xdr:cNvPicPr>
      </xdr:nvPicPr>
      <xdr:blipFill>
        <a:blip r:embed="rId1"/>
        <a:stretch>
          <a:fillRect/>
        </a:stretch>
      </xdr:blipFill>
      <xdr:spPr>
        <a:xfrm>
          <a:off x="11630025" y="3743325"/>
          <a:ext cx="7267575" cy="5991225"/>
        </a:xfrm>
        <a:prstGeom prst="rect">
          <a:avLst/>
        </a:prstGeom>
        <a:noFill/>
        <a:ln w="9525" cmpd="sng">
          <a:solidFill>
            <a:srgbClr val="4F81BD"/>
          </a:solidFill>
          <a:headEnd type="none"/>
          <a:tailEnd type="none"/>
        </a:ln>
      </xdr:spPr>
    </xdr:pic>
    <xdr:clientData/>
  </xdr:twoCellAnchor>
  <xdr:twoCellAnchor>
    <xdr:from>
      <xdr:col>14</xdr:col>
      <xdr:colOff>1295400</xdr:colOff>
      <xdr:row>3</xdr:row>
      <xdr:rowOff>123825</xdr:rowOff>
    </xdr:from>
    <xdr:to>
      <xdr:col>16</xdr:col>
      <xdr:colOff>514350</xdr:colOff>
      <xdr:row>31</xdr:row>
      <xdr:rowOff>47625</xdr:rowOff>
    </xdr:to>
    <xdr:sp>
      <xdr:nvSpPr>
        <xdr:cNvPr id="2" name="Straight Arrow Connector 5"/>
        <xdr:cNvSpPr>
          <a:spLocks/>
        </xdr:cNvSpPr>
      </xdr:nvSpPr>
      <xdr:spPr>
        <a:xfrm flipH="1">
          <a:off x="12811125" y="1714500"/>
          <a:ext cx="3305175" cy="5534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676275</xdr:colOff>
      <xdr:row>12</xdr:row>
      <xdr:rowOff>95250</xdr:rowOff>
    </xdr:from>
    <xdr:to>
      <xdr:col>14</xdr:col>
      <xdr:colOff>828675</xdr:colOff>
      <xdr:row>21</xdr:row>
      <xdr:rowOff>19050</xdr:rowOff>
    </xdr:to>
    <xdr:sp>
      <xdr:nvSpPr>
        <xdr:cNvPr id="3" name="Straight Arrow Connector 7"/>
        <xdr:cNvSpPr>
          <a:spLocks/>
        </xdr:cNvSpPr>
      </xdr:nvSpPr>
      <xdr:spPr>
        <a:xfrm flipH="1">
          <a:off x="12192000" y="3486150"/>
          <a:ext cx="152400" cy="1724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285750</xdr:colOff>
      <xdr:row>27</xdr:row>
      <xdr:rowOff>180975</xdr:rowOff>
    </xdr:from>
    <xdr:to>
      <xdr:col>13</xdr:col>
      <xdr:colOff>1171575</xdr:colOff>
      <xdr:row>52</xdr:row>
      <xdr:rowOff>95250</xdr:rowOff>
    </xdr:to>
    <xdr:pic>
      <xdr:nvPicPr>
        <xdr:cNvPr id="4" name="Picture 32"/>
        <xdr:cNvPicPr preferRelativeResize="1">
          <a:picLocks noChangeAspect="1"/>
        </xdr:cNvPicPr>
      </xdr:nvPicPr>
      <xdr:blipFill>
        <a:blip r:embed="rId2"/>
        <a:stretch>
          <a:fillRect/>
        </a:stretch>
      </xdr:blipFill>
      <xdr:spPr>
        <a:xfrm>
          <a:off x="285750" y="6581775"/>
          <a:ext cx="9829800" cy="4914900"/>
        </a:xfrm>
        <a:prstGeom prst="rect">
          <a:avLst/>
        </a:prstGeom>
        <a:noFill/>
        <a:ln w="9525" cmpd="sng">
          <a:solidFill>
            <a:srgbClr val="4F81BD"/>
          </a:solidFill>
          <a:headEnd type="none"/>
          <a:tailEnd type="none"/>
        </a:ln>
      </xdr:spPr>
    </xdr:pic>
    <xdr:clientData/>
  </xdr:twoCellAnchor>
  <xdr:twoCellAnchor editAs="oneCell">
    <xdr:from>
      <xdr:col>14</xdr:col>
      <xdr:colOff>200025</xdr:colOff>
      <xdr:row>45</xdr:row>
      <xdr:rowOff>38100</xdr:rowOff>
    </xdr:from>
    <xdr:to>
      <xdr:col>17</xdr:col>
      <xdr:colOff>533400</xdr:colOff>
      <xdr:row>59</xdr:row>
      <xdr:rowOff>133350</xdr:rowOff>
    </xdr:to>
    <xdr:pic>
      <xdr:nvPicPr>
        <xdr:cNvPr id="5" name="Picture 33"/>
        <xdr:cNvPicPr preferRelativeResize="1">
          <a:picLocks noChangeAspect="1"/>
        </xdr:cNvPicPr>
      </xdr:nvPicPr>
      <xdr:blipFill>
        <a:blip r:embed="rId3"/>
        <a:stretch>
          <a:fillRect/>
        </a:stretch>
      </xdr:blipFill>
      <xdr:spPr>
        <a:xfrm>
          <a:off x="11715750" y="10039350"/>
          <a:ext cx="6210300" cy="2895600"/>
        </a:xfrm>
        <a:prstGeom prst="rect">
          <a:avLst/>
        </a:prstGeom>
        <a:noFill/>
        <a:ln w="9525" cmpd="sng">
          <a:solidFill>
            <a:srgbClr val="4F81BD"/>
          </a:solidFill>
          <a:headEnd type="none"/>
          <a:tailEnd type="none"/>
        </a:ln>
      </xdr:spPr>
    </xdr:pic>
    <xdr:clientData/>
  </xdr:twoCellAnchor>
  <xdr:twoCellAnchor editAs="oneCell">
    <xdr:from>
      <xdr:col>0</xdr:col>
      <xdr:colOff>295275</xdr:colOff>
      <xdr:row>56</xdr:row>
      <xdr:rowOff>9525</xdr:rowOff>
    </xdr:from>
    <xdr:to>
      <xdr:col>6</xdr:col>
      <xdr:colOff>323850</xdr:colOff>
      <xdr:row>58</xdr:row>
      <xdr:rowOff>133350</xdr:rowOff>
    </xdr:to>
    <xdr:pic>
      <xdr:nvPicPr>
        <xdr:cNvPr id="6" name="Picture 11" descr="Reliability Analytics Corporation"/>
        <xdr:cNvPicPr preferRelativeResize="1">
          <a:picLocks noChangeAspect="1"/>
        </xdr:cNvPicPr>
      </xdr:nvPicPr>
      <xdr:blipFill>
        <a:blip r:embed="rId4"/>
        <a:stretch>
          <a:fillRect/>
        </a:stretch>
      </xdr:blipFill>
      <xdr:spPr>
        <a:xfrm>
          <a:off x="295275" y="12211050"/>
          <a:ext cx="39814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266700</xdr:colOff>
      <xdr:row>57</xdr:row>
      <xdr:rowOff>180975</xdr:rowOff>
    </xdr:from>
    <xdr:to>
      <xdr:col>25</xdr:col>
      <xdr:colOff>600075</xdr:colOff>
      <xdr:row>79</xdr:row>
      <xdr:rowOff>0</xdr:rowOff>
    </xdr:to>
    <xdr:pic>
      <xdr:nvPicPr>
        <xdr:cNvPr id="1" name="Picture 8"/>
        <xdr:cNvPicPr preferRelativeResize="1">
          <a:picLocks noChangeAspect="1"/>
        </xdr:cNvPicPr>
      </xdr:nvPicPr>
      <xdr:blipFill>
        <a:blip r:embed="rId1"/>
        <a:stretch>
          <a:fillRect/>
        </a:stretch>
      </xdr:blipFill>
      <xdr:spPr>
        <a:xfrm>
          <a:off x="7477125" y="14887575"/>
          <a:ext cx="8867775" cy="4219575"/>
        </a:xfrm>
        <a:prstGeom prst="rect">
          <a:avLst/>
        </a:prstGeom>
        <a:noFill/>
        <a:ln w="9525" cmpd="sng">
          <a:noFill/>
        </a:ln>
      </xdr:spPr>
    </xdr:pic>
    <xdr:clientData/>
  </xdr:twoCellAnchor>
  <xdr:twoCellAnchor editAs="oneCell">
    <xdr:from>
      <xdr:col>1</xdr:col>
      <xdr:colOff>200025</xdr:colOff>
      <xdr:row>37</xdr:row>
      <xdr:rowOff>171450</xdr:rowOff>
    </xdr:from>
    <xdr:to>
      <xdr:col>19</xdr:col>
      <xdr:colOff>285750</xdr:colOff>
      <xdr:row>56</xdr:row>
      <xdr:rowOff>161925</xdr:rowOff>
    </xdr:to>
    <xdr:pic>
      <xdr:nvPicPr>
        <xdr:cNvPr id="2" name="Picture 6"/>
        <xdr:cNvPicPr preferRelativeResize="1">
          <a:picLocks noChangeAspect="1"/>
        </xdr:cNvPicPr>
      </xdr:nvPicPr>
      <xdr:blipFill>
        <a:blip r:embed="rId2"/>
        <a:stretch>
          <a:fillRect/>
        </a:stretch>
      </xdr:blipFill>
      <xdr:spPr>
        <a:xfrm>
          <a:off x="809625" y="10877550"/>
          <a:ext cx="11563350" cy="3790950"/>
        </a:xfrm>
        <a:prstGeom prst="rect">
          <a:avLst/>
        </a:prstGeom>
        <a:noFill/>
        <a:ln w="9525" cmpd="sng">
          <a:solidFill>
            <a:srgbClr val="4F81BD"/>
          </a:solidFill>
          <a:headEnd type="none"/>
          <a:tailEnd type="none"/>
        </a:ln>
      </xdr:spPr>
    </xdr:pic>
    <xdr:clientData/>
  </xdr:twoCellAnchor>
  <xdr:twoCellAnchor>
    <xdr:from>
      <xdr:col>3</xdr:col>
      <xdr:colOff>552450</xdr:colOff>
      <xdr:row>27</xdr:row>
      <xdr:rowOff>123825</xdr:rowOff>
    </xdr:from>
    <xdr:to>
      <xdr:col>11</xdr:col>
      <xdr:colOff>180975</xdr:colOff>
      <xdr:row>48</xdr:row>
      <xdr:rowOff>95250</xdr:rowOff>
    </xdr:to>
    <xdr:sp>
      <xdr:nvSpPr>
        <xdr:cNvPr id="3" name="Straight Arrow Connector 14"/>
        <xdr:cNvSpPr>
          <a:spLocks/>
        </xdr:cNvSpPr>
      </xdr:nvSpPr>
      <xdr:spPr>
        <a:xfrm flipV="1">
          <a:off x="2676525" y="8753475"/>
          <a:ext cx="4714875" cy="42481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400050</xdr:colOff>
      <xdr:row>36</xdr:row>
      <xdr:rowOff>95250</xdr:rowOff>
    </xdr:from>
    <xdr:to>
      <xdr:col>11</xdr:col>
      <xdr:colOff>200025</xdr:colOff>
      <xdr:row>48</xdr:row>
      <xdr:rowOff>76200</xdr:rowOff>
    </xdr:to>
    <xdr:sp>
      <xdr:nvSpPr>
        <xdr:cNvPr id="4" name="Straight Arrow Connector 12"/>
        <xdr:cNvSpPr>
          <a:spLocks/>
        </xdr:cNvSpPr>
      </xdr:nvSpPr>
      <xdr:spPr>
        <a:xfrm flipV="1">
          <a:off x="2524125" y="10601325"/>
          <a:ext cx="4886325" cy="23812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47625</xdr:colOff>
      <xdr:row>26</xdr:row>
      <xdr:rowOff>447675</xdr:rowOff>
    </xdr:from>
    <xdr:to>
      <xdr:col>12</xdr:col>
      <xdr:colOff>466725</xdr:colOff>
      <xdr:row>50</xdr:row>
      <xdr:rowOff>9525</xdr:rowOff>
    </xdr:to>
    <xdr:sp>
      <xdr:nvSpPr>
        <xdr:cNvPr id="5" name="Straight Arrow Connector 19"/>
        <xdr:cNvSpPr>
          <a:spLocks/>
        </xdr:cNvSpPr>
      </xdr:nvSpPr>
      <xdr:spPr>
        <a:xfrm flipV="1">
          <a:off x="2781300" y="8105775"/>
          <a:ext cx="5505450" cy="52101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190500</xdr:colOff>
      <xdr:row>47</xdr:row>
      <xdr:rowOff>85725</xdr:rowOff>
    </xdr:from>
    <xdr:to>
      <xdr:col>20</xdr:col>
      <xdr:colOff>428625</xdr:colOff>
      <xdr:row>69</xdr:row>
      <xdr:rowOff>9525</xdr:rowOff>
    </xdr:to>
    <xdr:sp>
      <xdr:nvSpPr>
        <xdr:cNvPr id="6" name="Straight Arrow Connector 10"/>
        <xdr:cNvSpPr>
          <a:spLocks/>
        </xdr:cNvSpPr>
      </xdr:nvSpPr>
      <xdr:spPr>
        <a:xfrm flipH="1" flipV="1">
          <a:off x="4752975" y="12792075"/>
          <a:ext cx="8372475" cy="43243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342900</xdr:colOff>
      <xdr:row>26</xdr:row>
      <xdr:rowOff>390525</xdr:rowOff>
    </xdr:from>
    <xdr:to>
      <xdr:col>24</xdr:col>
      <xdr:colOff>476250</xdr:colOff>
      <xdr:row>49</xdr:row>
      <xdr:rowOff>152400</xdr:rowOff>
    </xdr:to>
    <xdr:sp>
      <xdr:nvSpPr>
        <xdr:cNvPr id="7" name="Straight Arrow Connector 27"/>
        <xdr:cNvSpPr>
          <a:spLocks/>
        </xdr:cNvSpPr>
      </xdr:nvSpPr>
      <xdr:spPr>
        <a:xfrm flipV="1">
          <a:off x="3076575" y="8048625"/>
          <a:ext cx="12534900" cy="52101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25</xdr:col>
      <xdr:colOff>495300</xdr:colOff>
      <xdr:row>16</xdr:row>
      <xdr:rowOff>161925</xdr:rowOff>
    </xdr:from>
    <xdr:to>
      <xdr:col>40</xdr:col>
      <xdr:colOff>495300</xdr:colOff>
      <xdr:row>37</xdr:row>
      <xdr:rowOff>19050</xdr:rowOff>
    </xdr:to>
    <xdr:pic>
      <xdr:nvPicPr>
        <xdr:cNvPr id="8" name="Picture 7"/>
        <xdr:cNvPicPr preferRelativeResize="1">
          <a:picLocks noChangeAspect="1"/>
        </xdr:cNvPicPr>
      </xdr:nvPicPr>
      <xdr:blipFill>
        <a:blip r:embed="rId3"/>
        <a:stretch>
          <a:fillRect/>
        </a:stretch>
      </xdr:blipFill>
      <xdr:spPr>
        <a:xfrm>
          <a:off x="16240125" y="5810250"/>
          <a:ext cx="9144000" cy="4914900"/>
        </a:xfrm>
        <a:prstGeom prst="rect">
          <a:avLst/>
        </a:prstGeom>
        <a:noFill/>
        <a:ln w="9525" cmpd="sng">
          <a:solidFill>
            <a:srgbClr val="4F81BD"/>
          </a:solidFill>
          <a:headEnd type="none"/>
          <a:tailEnd type="none"/>
        </a:ln>
      </xdr:spPr>
    </xdr:pic>
    <xdr:clientData/>
  </xdr:twoCellAnchor>
  <xdr:twoCellAnchor editAs="oneCell">
    <xdr:from>
      <xdr:col>1</xdr:col>
      <xdr:colOff>295275</xdr:colOff>
      <xdr:row>60</xdr:row>
      <xdr:rowOff>76200</xdr:rowOff>
    </xdr:from>
    <xdr:to>
      <xdr:col>7</xdr:col>
      <xdr:colOff>323850</xdr:colOff>
      <xdr:row>63</xdr:row>
      <xdr:rowOff>0</xdr:rowOff>
    </xdr:to>
    <xdr:pic>
      <xdr:nvPicPr>
        <xdr:cNvPr id="9" name="Picture 17" descr="Reliability Analytics Corporation"/>
        <xdr:cNvPicPr preferRelativeResize="1">
          <a:picLocks noChangeAspect="1"/>
        </xdr:cNvPicPr>
      </xdr:nvPicPr>
      <xdr:blipFill>
        <a:blip r:embed="rId4"/>
        <a:stretch>
          <a:fillRect/>
        </a:stretch>
      </xdr:blipFill>
      <xdr:spPr>
        <a:xfrm>
          <a:off x="904875" y="15382875"/>
          <a:ext cx="3981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65"/>
  <sheetViews>
    <sheetView tabSelected="1" zoomScale="80" zoomScaleNormal="80" zoomScalePageLayoutView="0" workbookViewId="0" topLeftCell="A1">
      <pane ySplit="2" topLeftCell="A3" activePane="bottomLeft" state="frozen"/>
      <selection pane="topLeft" activeCell="A1" sqref="A1"/>
      <selection pane="bottomLeft" activeCell="A65" sqref="A65"/>
    </sheetView>
  </sheetViews>
  <sheetFormatPr defaultColWidth="9.140625" defaultRowHeight="15"/>
  <cols>
    <col min="1" max="1" width="9.140625" style="17" customWidth="1"/>
    <col min="2" max="2" width="13.57421875" style="26" customWidth="1"/>
    <col min="3" max="10" width="9.140625" style="17" customWidth="1"/>
    <col min="11" max="11" width="12.28125" style="19" customWidth="1"/>
    <col min="12" max="12" width="15.7109375" style="0" customWidth="1"/>
    <col min="13" max="13" width="10.28125" style="0" customWidth="1"/>
    <col min="14" max="14" width="38.57421875" style="0" customWidth="1"/>
    <col min="15" max="15" width="25.8515625" style="0" customWidth="1"/>
    <col min="16" max="16" width="35.421875" style="0" customWidth="1"/>
    <col min="17" max="17" width="26.8515625" style="1" customWidth="1"/>
  </cols>
  <sheetData>
    <row r="1" spans="1:17" s="35" customFormat="1" ht="75.75" customHeight="1">
      <c r="A1" s="38" t="s">
        <v>23</v>
      </c>
      <c r="B1" s="39"/>
      <c r="C1" s="39"/>
      <c r="D1" s="39"/>
      <c r="E1" s="39"/>
      <c r="F1" s="39"/>
      <c r="G1" s="39"/>
      <c r="H1" s="39"/>
      <c r="I1" s="39"/>
      <c r="J1" s="39"/>
      <c r="K1" s="39"/>
      <c r="L1" s="39"/>
      <c r="M1" s="39"/>
      <c r="N1" s="39"/>
      <c r="O1" s="39"/>
      <c r="P1" s="39"/>
      <c r="Q1" s="40"/>
    </row>
    <row r="2" spans="3:11" ht="19.5" thickBot="1">
      <c r="C2" s="37" t="s">
        <v>18</v>
      </c>
      <c r="D2" s="37"/>
      <c r="E2" s="37"/>
      <c r="F2" s="37"/>
      <c r="G2" s="37"/>
      <c r="H2" s="37"/>
      <c r="I2" s="37"/>
      <c r="J2" s="37"/>
      <c r="K2" s="37"/>
    </row>
    <row r="3" spans="1:18" s="10" customFormat="1" ht="30">
      <c r="A3" s="15"/>
      <c r="B3" s="34" t="s">
        <v>4</v>
      </c>
      <c r="C3" s="16">
        <v>41000</v>
      </c>
      <c r="D3" s="16">
        <v>41030</v>
      </c>
      <c r="E3" s="16">
        <v>41061</v>
      </c>
      <c r="F3" s="16">
        <v>41091</v>
      </c>
      <c r="G3" s="16">
        <v>41122</v>
      </c>
      <c r="H3" s="16">
        <v>41153</v>
      </c>
      <c r="I3" s="16">
        <v>41183</v>
      </c>
      <c r="J3" s="16">
        <v>41214</v>
      </c>
      <c r="K3" s="16">
        <v>41244</v>
      </c>
      <c r="L3" s="3" t="s">
        <v>1</v>
      </c>
      <c r="M3" s="3" t="s">
        <v>0</v>
      </c>
      <c r="N3" s="3" t="s">
        <v>3</v>
      </c>
      <c r="O3" s="29" t="s">
        <v>2</v>
      </c>
      <c r="P3" s="3" t="s">
        <v>3</v>
      </c>
      <c r="Q3" s="29" t="s">
        <v>2</v>
      </c>
      <c r="R3" s="11"/>
    </row>
    <row r="4" spans="1:24" ht="15.75">
      <c r="A4" s="18">
        <v>40969</v>
      </c>
      <c r="B4" s="27">
        <v>436</v>
      </c>
      <c r="C4" s="20">
        <v>1</v>
      </c>
      <c r="D4" s="20">
        <v>1</v>
      </c>
      <c r="E4" s="20">
        <v>2</v>
      </c>
      <c r="F4" s="20">
        <v>2</v>
      </c>
      <c r="G4" s="20">
        <v>3</v>
      </c>
      <c r="H4" s="20">
        <v>3</v>
      </c>
      <c r="I4" s="20">
        <v>3</v>
      </c>
      <c r="J4" s="20">
        <v>4</v>
      </c>
      <c r="K4" s="20">
        <v>4</v>
      </c>
      <c r="L4" s="4">
        <f aca="true" t="shared" si="0" ref="L4:L12">COUNT(C4:K4)</f>
        <v>9</v>
      </c>
      <c r="M4" s="4">
        <v>1</v>
      </c>
      <c r="N4" s="5" t="str">
        <f>C4+D5+E6+F7+G8+H9+I10+J11+K12&amp;" Failures on units of age "&amp;M4&amp;" month"</f>
        <v>7 Failures on units of age 1 month</v>
      </c>
      <c r="O4" s="6" t="str">
        <f>M4&amp;" f g "&amp;C4+D5+E6+F7+G8+H9+I10+J11+K12</f>
        <v>1 f g 7</v>
      </c>
      <c r="P4" s="7" t="str">
        <f aca="true" t="shared" si="1" ref="P4:P12">B4-SUM(C4:K4)&amp;" Suspensions after "&amp;COUNT(C4:K4)&amp;" months"</f>
        <v>413 Suspensions after 9 months</v>
      </c>
      <c r="Q4" s="6" t="str">
        <f aca="true" t="shared" si="2" ref="Q4:Q12">COUNT(C4:K4)&amp;" s g "&amp;B4-SUM(C4:K4)</f>
        <v>9 s g 413</v>
      </c>
      <c r="R4" s="1"/>
      <c r="X4" s="1"/>
    </row>
    <row r="5" spans="1:24" ht="15.75">
      <c r="A5" s="18">
        <v>41000</v>
      </c>
      <c r="B5" s="27">
        <v>831</v>
      </c>
      <c r="C5" s="20"/>
      <c r="D5" s="20">
        <v>1</v>
      </c>
      <c r="E5" s="20">
        <v>2</v>
      </c>
      <c r="F5" s="20">
        <v>3</v>
      </c>
      <c r="G5" s="20">
        <v>4</v>
      </c>
      <c r="H5" s="20">
        <v>5</v>
      </c>
      <c r="I5" s="20">
        <v>6</v>
      </c>
      <c r="J5" s="20">
        <v>8</v>
      </c>
      <c r="K5" s="20">
        <v>8</v>
      </c>
      <c r="L5" s="4">
        <f t="shared" si="0"/>
        <v>8</v>
      </c>
      <c r="M5" s="4">
        <v>2</v>
      </c>
      <c r="N5" s="5" t="str">
        <f>D4+E5+F6+G7+H8+I9+J10+K11&amp;" Failures on units of age "&amp;M5&amp;" months"</f>
        <v>12 Failures on units of age 2 months</v>
      </c>
      <c r="O5" s="6" t="str">
        <f>M5&amp;" f g "&amp;D4+E5+F6+G7+H8+I9+J10+K11</f>
        <v>2 f g 12</v>
      </c>
      <c r="P5" s="7" t="str">
        <f t="shared" si="1"/>
        <v>794 Suspensions after 8 months</v>
      </c>
      <c r="Q5" s="6" t="str">
        <f t="shared" si="2"/>
        <v>8 s g 794</v>
      </c>
      <c r="R5" s="1"/>
      <c r="X5" s="1"/>
    </row>
    <row r="6" spans="1:24" ht="15.75">
      <c r="A6" s="18">
        <v>41030</v>
      </c>
      <c r="B6" s="27">
        <v>390</v>
      </c>
      <c r="C6" s="20"/>
      <c r="D6" s="20"/>
      <c r="E6" s="20">
        <v>0</v>
      </c>
      <c r="F6" s="20">
        <v>1</v>
      </c>
      <c r="G6" s="20">
        <v>2</v>
      </c>
      <c r="H6" s="20">
        <v>2</v>
      </c>
      <c r="I6" s="20">
        <v>2</v>
      </c>
      <c r="J6" s="20">
        <v>2</v>
      </c>
      <c r="K6" s="20">
        <v>3</v>
      </c>
      <c r="L6" s="4">
        <f t="shared" si="0"/>
        <v>7</v>
      </c>
      <c r="M6" s="4">
        <v>3</v>
      </c>
      <c r="N6" s="5" t="str">
        <f>E4+F5+G6+H7+I8+J9+K10&amp;" Failures on units of age "&amp;M6&amp;" months"</f>
        <v>16 Failures on units of age 3 months</v>
      </c>
      <c r="O6" s="6" t="str">
        <f>M6&amp;" f g "&amp;E4+F5+G6+H7+I8+J9+K10</f>
        <v>3 f g 16</v>
      </c>
      <c r="P6" s="7" t="str">
        <f t="shared" si="1"/>
        <v>378 Suspensions after 7 months</v>
      </c>
      <c r="Q6" s="6" t="str">
        <f t="shared" si="2"/>
        <v>7 s g 378</v>
      </c>
      <c r="R6" s="1"/>
      <c r="X6" s="1"/>
    </row>
    <row r="7" spans="1:24" ht="15.75">
      <c r="A7" s="18">
        <v>41061</v>
      </c>
      <c r="B7" s="27">
        <v>950</v>
      </c>
      <c r="C7" s="19"/>
      <c r="D7" s="19"/>
      <c r="E7" s="19"/>
      <c r="F7" s="20">
        <v>1</v>
      </c>
      <c r="G7" s="20">
        <v>2</v>
      </c>
      <c r="H7" s="20">
        <v>3</v>
      </c>
      <c r="I7" s="20">
        <v>4</v>
      </c>
      <c r="J7" s="20">
        <v>5</v>
      </c>
      <c r="K7" s="20">
        <v>6</v>
      </c>
      <c r="L7" s="4">
        <f t="shared" si="0"/>
        <v>6</v>
      </c>
      <c r="M7" s="4">
        <v>4</v>
      </c>
      <c r="N7" s="5" t="str">
        <f>F4+G5+H6+I7+J8+K9&amp;" Failures on units of age "&amp;M7&amp;" months"</f>
        <v>18 Failures on units of age 4 months</v>
      </c>
      <c r="O7" s="6" t="str">
        <f>M7&amp;" f g "&amp;F4+G5+H6+I7+J8+K9</f>
        <v>4 f g 18</v>
      </c>
      <c r="P7" s="7" t="str">
        <f t="shared" si="1"/>
        <v>929 Suspensions after 6 months</v>
      </c>
      <c r="Q7" s="6" t="str">
        <f t="shared" si="2"/>
        <v>6 s g 929</v>
      </c>
      <c r="R7" s="1"/>
      <c r="X7" s="1"/>
    </row>
    <row r="8" spans="1:24" ht="15.75">
      <c r="A8" s="18">
        <v>41091</v>
      </c>
      <c r="B8" s="27">
        <v>725</v>
      </c>
      <c r="C8" s="19"/>
      <c r="D8" s="19"/>
      <c r="E8" s="19"/>
      <c r="F8" s="19"/>
      <c r="G8" s="20">
        <v>1</v>
      </c>
      <c r="H8" s="20">
        <v>2</v>
      </c>
      <c r="I8" s="20">
        <v>3</v>
      </c>
      <c r="J8" s="20">
        <v>4</v>
      </c>
      <c r="K8" s="20">
        <v>5</v>
      </c>
      <c r="L8" s="4">
        <f t="shared" si="0"/>
        <v>5</v>
      </c>
      <c r="M8" s="4">
        <v>5</v>
      </c>
      <c r="N8" s="5" t="str">
        <f>G4+H5+I6+J7+K8&amp;" Failures on units of age "&amp;M8&amp;" months"</f>
        <v>20 Failures on units of age 5 months</v>
      </c>
      <c r="O8" s="6" t="str">
        <f>M8&amp;" f g "&amp;G4+H5+I6+J7+K8</f>
        <v>5 f g 20</v>
      </c>
      <c r="P8" s="7" t="str">
        <f t="shared" si="1"/>
        <v>710 Suspensions after 5 months</v>
      </c>
      <c r="Q8" s="6" t="str">
        <f t="shared" si="2"/>
        <v>5 s g 710</v>
      </c>
      <c r="R8" s="1"/>
      <c r="X8" s="1"/>
    </row>
    <row r="9" spans="1:24" ht="15.75">
      <c r="A9" s="18">
        <v>41122</v>
      </c>
      <c r="B9" s="27">
        <v>433</v>
      </c>
      <c r="C9" s="19"/>
      <c r="D9" s="19"/>
      <c r="E9" s="19"/>
      <c r="F9" s="19"/>
      <c r="G9" s="19"/>
      <c r="H9" s="20">
        <v>1</v>
      </c>
      <c r="I9" s="20">
        <v>1</v>
      </c>
      <c r="J9" s="20">
        <v>2</v>
      </c>
      <c r="K9" s="20">
        <v>2</v>
      </c>
      <c r="L9" s="4">
        <f t="shared" si="0"/>
        <v>4</v>
      </c>
      <c r="M9" s="4">
        <v>6</v>
      </c>
      <c r="N9" s="5" t="str">
        <f>H4+I5+J6+K7&amp;" Failures on units of age "&amp;M9&amp;" months"</f>
        <v>17 Failures on units of age 6 months</v>
      </c>
      <c r="O9" s="6" t="str">
        <f>M9&amp;" f g "&amp;H4+I5+J6+K7</f>
        <v>6 f g 17</v>
      </c>
      <c r="P9" s="7" t="str">
        <f t="shared" si="1"/>
        <v>427 Suspensions after 4 months</v>
      </c>
      <c r="Q9" s="6" t="str">
        <f t="shared" si="2"/>
        <v>4 s g 427</v>
      </c>
      <c r="R9" s="1"/>
      <c r="X9" s="1"/>
    </row>
    <row r="10" spans="1:18" ht="15.75">
      <c r="A10" s="18">
        <v>41153</v>
      </c>
      <c r="B10" s="27">
        <v>316</v>
      </c>
      <c r="C10" s="19"/>
      <c r="D10" s="19"/>
      <c r="E10" s="19"/>
      <c r="F10" s="19"/>
      <c r="G10" s="19"/>
      <c r="H10" s="19"/>
      <c r="I10" s="20">
        <v>0</v>
      </c>
      <c r="J10" s="20">
        <v>1</v>
      </c>
      <c r="K10" s="20">
        <v>1</v>
      </c>
      <c r="L10" s="4">
        <f t="shared" si="0"/>
        <v>3</v>
      </c>
      <c r="M10" s="4">
        <v>7</v>
      </c>
      <c r="N10" s="5" t="str">
        <f>I4+J5+K6&amp;" Failures on units of age "&amp;M10&amp;" months"</f>
        <v>14 Failures on units of age 7 months</v>
      </c>
      <c r="O10" s="6" t="str">
        <f>M10&amp;" f g "&amp;I4+J5+K6</f>
        <v>7 f g 14</v>
      </c>
      <c r="P10" s="7" t="str">
        <f t="shared" si="1"/>
        <v>314 Suspensions after 3 months</v>
      </c>
      <c r="Q10" s="6" t="str">
        <f t="shared" si="2"/>
        <v>3 s g 314</v>
      </c>
      <c r="R10" s="1"/>
    </row>
    <row r="11" spans="1:18" ht="15.75">
      <c r="A11" s="18">
        <v>41183</v>
      </c>
      <c r="B11" s="27">
        <v>1027</v>
      </c>
      <c r="C11" s="19"/>
      <c r="D11" s="19"/>
      <c r="E11" s="19"/>
      <c r="F11" s="19"/>
      <c r="G11" s="19"/>
      <c r="H11" s="19"/>
      <c r="I11" s="19"/>
      <c r="J11" s="20">
        <v>1</v>
      </c>
      <c r="K11" s="20">
        <v>2</v>
      </c>
      <c r="L11" s="4">
        <f t="shared" si="0"/>
        <v>2</v>
      </c>
      <c r="M11" s="4">
        <v>8</v>
      </c>
      <c r="N11" s="5" t="str">
        <f>J4+K5&amp;" Failures on units of age "&amp;M11&amp;" months"</f>
        <v>12 Failures on units of age 8 months</v>
      </c>
      <c r="O11" s="6" t="str">
        <f>M11&amp;" f g "&amp;J4+K5</f>
        <v>8 f g 12</v>
      </c>
      <c r="P11" s="7" t="str">
        <f t="shared" si="1"/>
        <v>1024 Suspensions after 2 months</v>
      </c>
      <c r="Q11" s="6" t="str">
        <f t="shared" si="2"/>
        <v>2 s g 1024</v>
      </c>
      <c r="R11" s="1"/>
    </row>
    <row r="12" spans="1:18" ht="15.75">
      <c r="A12" s="18">
        <v>41214</v>
      </c>
      <c r="B12" s="27">
        <v>1216</v>
      </c>
      <c r="C12" s="19"/>
      <c r="D12" s="19"/>
      <c r="E12" s="19"/>
      <c r="F12" s="19"/>
      <c r="G12" s="19"/>
      <c r="H12" s="19"/>
      <c r="I12" s="19"/>
      <c r="J12" s="19"/>
      <c r="K12" s="20">
        <v>1</v>
      </c>
      <c r="L12" s="4">
        <f t="shared" si="0"/>
        <v>1</v>
      </c>
      <c r="M12" s="4">
        <v>9</v>
      </c>
      <c r="N12" s="5" t="str">
        <f>K4&amp;" Failures on units of age "&amp;M12&amp;" months"</f>
        <v>4 Failures on units of age 9 months</v>
      </c>
      <c r="O12" s="6" t="str">
        <f>M12&amp;" f g "&amp;K4</f>
        <v>9 f g 4</v>
      </c>
      <c r="P12" s="7" t="str">
        <f t="shared" si="1"/>
        <v>1215 Suspensions after 1 months</v>
      </c>
      <c r="Q12" s="6" t="str">
        <f t="shared" si="2"/>
        <v>1 s g 1215</v>
      </c>
      <c r="R12" s="1"/>
    </row>
    <row r="13" spans="1:18" ht="15.75">
      <c r="A13" s="18">
        <v>41244</v>
      </c>
      <c r="B13" s="27">
        <v>1000</v>
      </c>
      <c r="C13" s="19"/>
      <c r="D13" s="19"/>
      <c r="E13" s="19"/>
      <c r="F13" s="19"/>
      <c r="G13" s="19"/>
      <c r="H13" s="19"/>
      <c r="I13" s="19"/>
      <c r="J13" s="19"/>
      <c r="Q13"/>
      <c r="R13" s="1"/>
    </row>
    <row r="14" spans="1:10" ht="15.75">
      <c r="A14" s="18">
        <v>41275</v>
      </c>
      <c r="B14" s="27">
        <v>1000</v>
      </c>
      <c r="C14" s="19"/>
      <c r="D14" s="19"/>
      <c r="E14" s="19"/>
      <c r="F14" s="19"/>
      <c r="G14" s="19"/>
      <c r="H14" s="19"/>
      <c r="I14" s="19"/>
      <c r="J14" s="19"/>
    </row>
    <row r="15" spans="1:10" ht="15.75">
      <c r="A15" s="18">
        <v>41306</v>
      </c>
      <c r="B15" s="27">
        <v>1000</v>
      </c>
      <c r="C15" s="19"/>
      <c r="D15" s="19"/>
      <c r="E15" s="19"/>
      <c r="F15" s="19"/>
      <c r="G15" s="19"/>
      <c r="H15" s="19"/>
      <c r="I15" s="19"/>
      <c r="J15" s="19"/>
    </row>
    <row r="16" spans="1:10" ht="15.75">
      <c r="A16" s="18">
        <v>41334</v>
      </c>
      <c r="B16" s="27">
        <v>1000</v>
      </c>
      <c r="C16" s="19"/>
      <c r="D16" s="19"/>
      <c r="E16" s="19"/>
      <c r="F16" s="19"/>
      <c r="G16" s="19"/>
      <c r="H16" s="19"/>
      <c r="I16" s="19"/>
      <c r="J16" s="19"/>
    </row>
    <row r="17" spans="1:10" ht="15.75">
      <c r="A17" s="18">
        <v>41365</v>
      </c>
      <c r="B17" s="27">
        <v>1000</v>
      </c>
      <c r="C17" s="19"/>
      <c r="D17" s="19"/>
      <c r="E17" s="19"/>
      <c r="F17" s="19"/>
      <c r="G17" s="19"/>
      <c r="H17" s="19"/>
      <c r="I17" s="19"/>
      <c r="J17" s="19"/>
    </row>
    <row r="18" spans="1:10" ht="15.75">
      <c r="A18" s="18">
        <v>41395</v>
      </c>
      <c r="B18" s="27">
        <v>1000</v>
      </c>
      <c r="C18" s="19"/>
      <c r="D18" s="19"/>
      <c r="E18" s="19"/>
      <c r="F18" s="19"/>
      <c r="G18" s="19"/>
      <c r="H18" s="19"/>
      <c r="I18" s="19"/>
      <c r="J18" s="19"/>
    </row>
    <row r="19" spans="1:10" ht="15.75">
      <c r="A19" s="18">
        <v>41426</v>
      </c>
      <c r="B19" s="27">
        <v>1000</v>
      </c>
      <c r="C19" s="19"/>
      <c r="D19" s="19"/>
      <c r="E19" s="19"/>
      <c r="F19" s="19"/>
      <c r="G19" s="19"/>
      <c r="H19" s="19"/>
      <c r="I19" s="19"/>
      <c r="J19" s="19"/>
    </row>
    <row r="20" spans="1:10" ht="15.75">
      <c r="A20" s="18">
        <v>41456</v>
      </c>
      <c r="B20" s="27">
        <v>1000</v>
      </c>
      <c r="C20" s="19"/>
      <c r="D20" s="19"/>
      <c r="E20" s="19"/>
      <c r="F20" s="19"/>
      <c r="G20" s="19"/>
      <c r="H20" s="19"/>
      <c r="I20" s="19"/>
      <c r="J20" s="19"/>
    </row>
    <row r="21" spans="1:10" ht="15.75">
      <c r="A21" s="18">
        <v>41487</v>
      </c>
      <c r="B21" s="27">
        <v>1000</v>
      </c>
      <c r="C21" s="19"/>
      <c r="D21" s="19"/>
      <c r="E21" s="19"/>
      <c r="F21" s="19"/>
      <c r="G21" s="19"/>
      <c r="H21" s="19"/>
      <c r="I21" s="19"/>
      <c r="J21" s="19"/>
    </row>
    <row r="22" spans="1:10" ht="15.75">
      <c r="A22" s="18">
        <v>41518</v>
      </c>
      <c r="B22" s="27">
        <v>1000</v>
      </c>
      <c r="C22" s="19"/>
      <c r="D22" s="19"/>
      <c r="E22" s="19"/>
      <c r="F22" s="19"/>
      <c r="G22" s="19"/>
      <c r="H22" s="19"/>
      <c r="I22" s="19"/>
      <c r="J22" s="19"/>
    </row>
    <row r="23" spans="1:10" ht="15.75">
      <c r="A23" s="18">
        <v>41548</v>
      </c>
      <c r="B23" s="27">
        <v>1000</v>
      </c>
      <c r="C23" s="19"/>
      <c r="D23" s="19"/>
      <c r="E23" s="19"/>
      <c r="F23" s="19"/>
      <c r="G23" s="19"/>
      <c r="H23" s="19"/>
      <c r="I23" s="19"/>
      <c r="J23" s="19"/>
    </row>
    <row r="24" spans="1:11" ht="16.5" thickBot="1">
      <c r="A24" s="21">
        <v>41579</v>
      </c>
      <c r="B24" s="28">
        <v>1000</v>
      </c>
      <c r="C24" s="23"/>
      <c r="D24" s="23"/>
      <c r="E24" s="23"/>
      <c r="F24" s="23"/>
      <c r="G24" s="23"/>
      <c r="H24" s="23"/>
      <c r="I24" s="23"/>
      <c r="J24" s="23"/>
      <c r="K24" s="23"/>
    </row>
    <row r="25" spans="2:11" ht="15.75">
      <c r="B25" s="27" t="s">
        <v>19</v>
      </c>
      <c r="C25" s="20">
        <f>SUM(C4:C24)</f>
        <v>1</v>
      </c>
      <c r="D25" s="20">
        <f aca="true" t="shared" si="3" ref="D25:K25">SUM(D4:D24)</f>
        <v>2</v>
      </c>
      <c r="E25" s="20">
        <f t="shared" si="3"/>
        <v>4</v>
      </c>
      <c r="F25" s="20">
        <f t="shared" si="3"/>
        <v>7</v>
      </c>
      <c r="G25" s="20">
        <f t="shared" si="3"/>
        <v>12</v>
      </c>
      <c r="H25" s="20">
        <f t="shared" si="3"/>
        <v>16</v>
      </c>
      <c r="I25" s="20">
        <f t="shared" si="3"/>
        <v>19</v>
      </c>
      <c r="J25" s="20">
        <f t="shared" si="3"/>
        <v>27</v>
      </c>
      <c r="K25" s="20">
        <f t="shared" si="3"/>
        <v>32</v>
      </c>
    </row>
    <row r="26" ht="15.75"/>
    <row r="27" ht="15.75"/>
    <row r="28" ht="15.75"/>
    <row r="29" ht="15.75"/>
    <row r="30" ht="15.75"/>
    <row r="31" ht="15.75"/>
    <row r="32" ht="15.75"/>
    <row r="33" ht="15.75"/>
    <row r="34" ht="15.75"/>
    <row r="35" ht="15.75"/>
    <row r="36" ht="15.75"/>
    <row r="37" ht="15.75"/>
    <row r="38" ht="15.75"/>
    <row r="39" ht="15.75"/>
    <row r="40" ht="15.75"/>
    <row r="41" ht="15.75"/>
    <row r="42" ht="15.75"/>
    <row r="43" ht="15.75"/>
    <row r="44" ht="15.75"/>
    <row r="45" ht="15.75"/>
    <row r="46" ht="15.75"/>
    <row r="47" ht="15.75"/>
    <row r="48" ht="15.75"/>
    <row r="49" ht="15.75"/>
    <row r="50" ht="15.75"/>
    <row r="51" ht="15.75"/>
    <row r="52" ht="15.75"/>
    <row r="53" ht="15.75"/>
    <row r="54" ht="15.75"/>
    <row r="55" ht="15.75"/>
    <row r="56" ht="15.75"/>
    <row r="57" ht="15.75"/>
    <row r="58" ht="15.75"/>
    <row r="59" ht="15.75"/>
    <row r="60" ht="15.75"/>
    <row r="65" ht="15.75">
      <c r="A65"/>
    </row>
  </sheetData>
  <sheetProtection/>
  <mergeCells count="2">
    <mergeCell ref="C2:K2"/>
    <mergeCell ref="A1:Q1"/>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I62"/>
  <sheetViews>
    <sheetView zoomScale="80" zoomScaleNormal="80" zoomScalePageLayoutView="0" workbookViewId="0" topLeftCell="A1">
      <pane ySplit="3" topLeftCell="A4" activePane="bottomLeft" state="frozen"/>
      <selection pane="topLeft" activeCell="A1" sqref="A1"/>
      <selection pane="bottomLeft" activeCell="Y12" sqref="Y12"/>
    </sheetView>
  </sheetViews>
  <sheetFormatPr defaultColWidth="9.140625" defaultRowHeight="15"/>
  <cols>
    <col min="1" max="1" width="9.140625" style="17" customWidth="1"/>
    <col min="2" max="2" width="13.57421875" style="27" customWidth="1"/>
    <col min="3" max="10" width="9.140625" style="17" customWidth="1"/>
    <col min="11" max="11" width="12.28125" style="19" customWidth="1"/>
    <col min="12" max="12" width="9.140625" style="1" customWidth="1"/>
  </cols>
  <sheetData>
    <row r="1" spans="1:24" s="35" customFormat="1" ht="201.75" customHeight="1">
      <c r="A1" s="42" t="s">
        <v>24</v>
      </c>
      <c r="B1" s="39"/>
      <c r="C1" s="39"/>
      <c r="D1" s="39"/>
      <c r="E1" s="39"/>
      <c r="F1" s="39"/>
      <c r="G1" s="39"/>
      <c r="H1" s="39"/>
      <c r="I1" s="39"/>
      <c r="J1" s="39"/>
      <c r="K1" s="39"/>
      <c r="L1" s="39"/>
      <c r="M1" s="39"/>
      <c r="N1" s="39"/>
      <c r="O1" s="39"/>
      <c r="P1" s="39"/>
      <c r="Q1" s="39"/>
      <c r="R1" s="39"/>
      <c r="S1" s="39"/>
      <c r="T1" s="39"/>
      <c r="U1" s="39"/>
      <c r="V1" s="39"/>
      <c r="W1" s="39"/>
      <c r="X1" s="40"/>
    </row>
    <row r="2" spans="2:24" ht="19.5" thickBot="1">
      <c r="B2" s="26"/>
      <c r="C2" s="37" t="s">
        <v>18</v>
      </c>
      <c r="D2" s="37"/>
      <c r="E2" s="37"/>
      <c r="F2" s="37"/>
      <c r="G2" s="37"/>
      <c r="H2" s="37"/>
      <c r="I2" s="37"/>
      <c r="J2" s="37"/>
      <c r="K2" s="37"/>
      <c r="L2" s="1" t="s">
        <v>20</v>
      </c>
      <c r="M2" s="37" t="s">
        <v>22</v>
      </c>
      <c r="N2" s="37"/>
      <c r="O2" s="37"/>
      <c r="P2" s="37"/>
      <c r="Q2" s="37"/>
      <c r="R2" s="37"/>
      <c r="S2" s="37"/>
      <c r="T2" s="37"/>
      <c r="U2" s="37"/>
      <c r="V2" s="41"/>
      <c r="W2" s="41"/>
      <c r="X2" s="41"/>
    </row>
    <row r="3" spans="1:28" ht="18.75">
      <c r="A3" s="15"/>
      <c r="B3" s="34" t="s">
        <v>4</v>
      </c>
      <c r="C3" s="16">
        <v>41000</v>
      </c>
      <c r="D3" s="16">
        <v>41030</v>
      </c>
      <c r="E3" s="16">
        <v>41061</v>
      </c>
      <c r="F3" s="16">
        <v>41091</v>
      </c>
      <c r="G3" s="16">
        <v>41122</v>
      </c>
      <c r="H3" s="16">
        <v>41153</v>
      </c>
      <c r="I3" s="16">
        <v>41183</v>
      </c>
      <c r="J3" s="16">
        <v>41214</v>
      </c>
      <c r="K3" s="16">
        <v>41244</v>
      </c>
      <c r="M3" s="16">
        <v>41275</v>
      </c>
      <c r="N3" s="16">
        <v>41306</v>
      </c>
      <c r="O3" s="16">
        <v>41334</v>
      </c>
      <c r="P3" s="16">
        <v>41365</v>
      </c>
      <c r="Q3" s="16">
        <v>41395</v>
      </c>
      <c r="R3" s="16">
        <v>41426</v>
      </c>
      <c r="S3" s="16">
        <v>41456</v>
      </c>
      <c r="T3" s="16">
        <v>41487</v>
      </c>
      <c r="U3" s="16">
        <v>41518</v>
      </c>
      <c r="V3" s="16">
        <v>41548</v>
      </c>
      <c r="W3" s="16">
        <v>41579</v>
      </c>
      <c r="X3" s="16">
        <v>41609</v>
      </c>
      <c r="Y3" s="1"/>
      <c r="Z3" s="1"/>
      <c r="AA3" s="1"/>
      <c r="AB3" s="1"/>
    </row>
    <row r="4" spans="1:28" ht="15.75">
      <c r="A4" s="18">
        <v>40969</v>
      </c>
      <c r="B4" s="27">
        <v>436</v>
      </c>
      <c r="C4" s="20">
        <v>1</v>
      </c>
      <c r="D4" s="20">
        <v>1</v>
      </c>
      <c r="E4" s="20">
        <v>2</v>
      </c>
      <c r="F4" s="20">
        <v>2</v>
      </c>
      <c r="G4" s="20">
        <v>3</v>
      </c>
      <c r="H4" s="20">
        <v>3</v>
      </c>
      <c r="I4" s="20">
        <v>3</v>
      </c>
      <c r="J4" s="20">
        <v>4</v>
      </c>
      <c r="K4" s="20">
        <v>4</v>
      </c>
      <c r="L4" s="1">
        <f>COUNT(C4:K4)</f>
        <v>9</v>
      </c>
      <c r="M4" s="8">
        <f>($B4-SUM($C4:$K4))*(N28-M28)/100</f>
        <v>6.362678</v>
      </c>
      <c r="N4" s="8">
        <f aca="true" t="shared" si="0" ref="M4:O13">($B4-SUM($C4:$K4))*(O28-N28)/100</f>
        <v>7.0573440000000005</v>
      </c>
      <c r="O4" s="8">
        <f t="shared" si="0"/>
        <v>7.726403999999998</v>
      </c>
      <c r="P4" s="2"/>
      <c r="Q4" s="2"/>
      <c r="R4" s="2"/>
      <c r="S4" s="2"/>
      <c r="T4" s="2"/>
      <c r="U4" s="2"/>
      <c r="V4" s="2"/>
      <c r="W4" s="2"/>
      <c r="X4" s="2"/>
      <c r="Y4" s="2"/>
      <c r="Z4" s="1"/>
      <c r="AA4" s="1"/>
      <c r="AB4" s="1"/>
    </row>
    <row r="5" spans="1:28" ht="15.75">
      <c r="A5" s="18">
        <v>41000</v>
      </c>
      <c r="B5" s="27">
        <v>831</v>
      </c>
      <c r="C5" s="20"/>
      <c r="D5" s="20">
        <v>1</v>
      </c>
      <c r="E5" s="20">
        <v>2</v>
      </c>
      <c r="F5" s="20">
        <v>3</v>
      </c>
      <c r="G5" s="20">
        <v>4</v>
      </c>
      <c r="H5" s="20">
        <v>5</v>
      </c>
      <c r="I5" s="20">
        <v>6</v>
      </c>
      <c r="J5" s="20">
        <v>8</v>
      </c>
      <c r="K5" s="20">
        <v>8</v>
      </c>
      <c r="L5" s="1">
        <f aca="true" t="shared" si="1" ref="L5:L24">COUNT(C5:K5)</f>
        <v>8</v>
      </c>
      <c r="M5" s="8">
        <f t="shared" si="0"/>
        <v>10.715029999999999</v>
      </c>
      <c r="N5" s="8">
        <f t="shared" si="0"/>
        <v>12.067212</v>
      </c>
      <c r="O5" s="8">
        <f t="shared" si="0"/>
        <v>13.384457999999997</v>
      </c>
      <c r="P5" s="8">
        <f aca="true" t="shared" si="2" ref="P5:P13">($B5-SUM($C5:$K5))*(Q29-P29)/100</f>
        <v>14.654064</v>
      </c>
      <c r="Q5" s="2"/>
      <c r="R5" s="2"/>
      <c r="S5" s="2"/>
      <c r="T5" s="2"/>
      <c r="U5" s="2"/>
      <c r="V5" s="2"/>
      <c r="W5" s="2"/>
      <c r="X5" s="2"/>
      <c r="Y5" s="1"/>
      <c r="Z5" s="1"/>
      <c r="AA5" s="1"/>
      <c r="AB5" s="1"/>
    </row>
    <row r="6" spans="1:28" ht="15.75">
      <c r="A6" s="18">
        <v>41030</v>
      </c>
      <c r="B6" s="27">
        <v>390</v>
      </c>
      <c r="C6" s="20"/>
      <c r="D6" s="20"/>
      <c r="E6" s="20">
        <v>0</v>
      </c>
      <c r="F6" s="20">
        <v>1</v>
      </c>
      <c r="G6" s="20">
        <v>2</v>
      </c>
      <c r="H6" s="20">
        <v>2</v>
      </c>
      <c r="I6" s="20">
        <v>2</v>
      </c>
      <c r="J6" s="20">
        <v>2</v>
      </c>
      <c r="K6" s="20">
        <v>3</v>
      </c>
      <c r="L6" s="1">
        <f t="shared" si="1"/>
        <v>7</v>
      </c>
      <c r="M6" s="8">
        <f t="shared" si="0"/>
        <v>4.393872000000001</v>
      </c>
      <c r="N6" s="8">
        <f t="shared" si="0"/>
        <v>5.041764</v>
      </c>
      <c r="O6" s="8">
        <f t="shared" si="0"/>
        <v>5.678316000000001</v>
      </c>
      <c r="P6" s="8">
        <f t="shared" si="2"/>
        <v>6.2978580000000015</v>
      </c>
      <c r="Q6" s="8">
        <f aca="true" t="shared" si="3" ref="Q6:Q13">($B6-SUM($C6:$K6))*(R30-Q30)/100</f>
        <v>6.895097999999998</v>
      </c>
      <c r="R6" s="2"/>
      <c r="S6" s="2"/>
      <c r="T6" s="2"/>
      <c r="U6" s="2"/>
      <c r="V6" s="2"/>
      <c r="W6" s="2"/>
      <c r="X6" s="2"/>
      <c r="Y6" s="1"/>
      <c r="Z6" s="1"/>
      <c r="AA6" s="1"/>
      <c r="AB6" s="1"/>
    </row>
    <row r="7" spans="1:28" ht="15.75">
      <c r="A7" s="18">
        <v>41061</v>
      </c>
      <c r="B7" s="27">
        <v>950</v>
      </c>
      <c r="C7" s="19"/>
      <c r="D7" s="19"/>
      <c r="E7" s="19"/>
      <c r="F7" s="20">
        <v>1</v>
      </c>
      <c r="G7" s="20">
        <v>2</v>
      </c>
      <c r="H7" s="20">
        <v>3</v>
      </c>
      <c r="I7" s="20">
        <v>4</v>
      </c>
      <c r="J7" s="20">
        <v>5</v>
      </c>
      <c r="K7" s="20">
        <v>6</v>
      </c>
      <c r="L7" s="1">
        <f t="shared" si="1"/>
        <v>6</v>
      </c>
      <c r="M7" s="8">
        <f t="shared" si="0"/>
        <v>9.104199999999999</v>
      </c>
      <c r="N7" s="8">
        <f t="shared" si="0"/>
        <v>10.692789999999997</v>
      </c>
      <c r="O7" s="8">
        <f t="shared" si="0"/>
        <v>12.269303000000004</v>
      </c>
      <c r="P7" s="8">
        <f t="shared" si="2"/>
        <v>13.818874999999993</v>
      </c>
      <c r="Q7" s="8">
        <f t="shared" si="3"/>
        <v>15.325713</v>
      </c>
      <c r="R7" s="8">
        <f aca="true" t="shared" si="4" ref="R7:R13">($B7-SUM($C7:$K7))*(S31-R31)/100</f>
        <v>16.78052700000001</v>
      </c>
      <c r="S7" s="2"/>
      <c r="T7" s="2"/>
      <c r="U7" s="2"/>
      <c r="V7" s="2"/>
      <c r="W7" s="2"/>
      <c r="X7" s="2"/>
      <c r="Y7" s="1"/>
      <c r="Z7" s="1"/>
      <c r="AA7" s="1"/>
      <c r="AB7" s="1"/>
    </row>
    <row r="8" spans="1:28" ht="15.75">
      <c r="A8" s="18">
        <v>41091</v>
      </c>
      <c r="B8" s="27">
        <v>725</v>
      </c>
      <c r="C8" s="19"/>
      <c r="D8" s="19"/>
      <c r="E8" s="19"/>
      <c r="F8" s="19"/>
      <c r="G8" s="20">
        <v>1</v>
      </c>
      <c r="H8" s="20">
        <v>2</v>
      </c>
      <c r="I8" s="20">
        <v>3</v>
      </c>
      <c r="J8" s="20">
        <v>4</v>
      </c>
      <c r="K8" s="20">
        <v>5</v>
      </c>
      <c r="L8" s="1">
        <f t="shared" si="1"/>
        <v>5</v>
      </c>
      <c r="M8" s="8">
        <f t="shared" si="0"/>
        <v>5.6991700000000005</v>
      </c>
      <c r="N8" s="8">
        <f t="shared" si="0"/>
        <v>6.90262</v>
      </c>
      <c r="O8" s="8">
        <f t="shared" si="0"/>
        <v>8.106069999999999</v>
      </c>
      <c r="P8" s="8">
        <f t="shared" si="2"/>
        <v>9.302420000000001</v>
      </c>
      <c r="Q8" s="8">
        <f t="shared" si="3"/>
        <v>10.476050000000003</v>
      </c>
      <c r="R8" s="8">
        <f t="shared" si="4"/>
        <v>11.61915</v>
      </c>
      <c r="S8" s="8">
        <f aca="true" t="shared" si="5" ref="S8:S13">($B8-SUM($C8:$K8))*(T32-S32)/100</f>
        <v>12.721779999999997</v>
      </c>
      <c r="T8" s="2"/>
      <c r="U8" s="2"/>
      <c r="V8" s="2"/>
      <c r="W8" s="2"/>
      <c r="X8" s="2"/>
      <c r="Y8" s="1"/>
      <c r="Z8" s="1"/>
      <c r="AA8" s="1"/>
      <c r="AB8" s="1"/>
    </row>
    <row r="9" spans="1:28" ht="15.75">
      <c r="A9" s="18">
        <v>41122</v>
      </c>
      <c r="B9" s="27">
        <v>433</v>
      </c>
      <c r="C9" s="19"/>
      <c r="D9" s="19"/>
      <c r="E9" s="19"/>
      <c r="F9" s="19"/>
      <c r="G9" s="19"/>
      <c r="H9" s="20">
        <v>1</v>
      </c>
      <c r="I9" s="20">
        <v>1</v>
      </c>
      <c r="J9" s="20">
        <v>2</v>
      </c>
      <c r="K9" s="20">
        <v>2</v>
      </c>
      <c r="L9" s="1">
        <f t="shared" si="1"/>
        <v>4</v>
      </c>
      <c r="M9" s="8">
        <f t="shared" si="0"/>
        <v>2.6969320000000003</v>
      </c>
      <c r="N9" s="8">
        <f t="shared" si="0"/>
        <v>3.406179</v>
      </c>
      <c r="O9" s="8">
        <f t="shared" si="0"/>
        <v>4.124393</v>
      </c>
      <c r="P9" s="8">
        <f t="shared" si="2"/>
        <v>4.844741999999999</v>
      </c>
      <c r="Q9" s="8">
        <f t="shared" si="3"/>
        <v>5.559113</v>
      </c>
      <c r="R9" s="8">
        <f t="shared" si="4"/>
        <v>6.2606740000000025</v>
      </c>
      <c r="S9" s="8">
        <f t="shared" si="5"/>
        <v>6.943873999999999</v>
      </c>
      <c r="T9" s="8">
        <f>($B9-SUM($C9:$K9))*(U33-T33)/100</f>
        <v>7.602307999999997</v>
      </c>
      <c r="U9" s="2"/>
      <c r="V9" s="2"/>
      <c r="W9" s="2"/>
      <c r="X9" s="2"/>
      <c r="Y9" s="1"/>
      <c r="Z9" s="1"/>
      <c r="AA9" s="1"/>
      <c r="AB9" s="1"/>
    </row>
    <row r="10" spans="1:28" ht="15.75">
      <c r="A10" s="18">
        <v>41153</v>
      </c>
      <c r="B10" s="27">
        <v>316</v>
      </c>
      <c r="C10" s="19"/>
      <c r="D10" s="19"/>
      <c r="E10" s="19"/>
      <c r="F10" s="19"/>
      <c r="G10" s="19"/>
      <c r="H10" s="19"/>
      <c r="I10" s="20">
        <v>0</v>
      </c>
      <c r="J10" s="20">
        <v>1</v>
      </c>
      <c r="K10" s="20">
        <v>1</v>
      </c>
      <c r="L10" s="1">
        <f t="shared" si="1"/>
        <v>3</v>
      </c>
      <c r="M10" s="8">
        <f t="shared" si="0"/>
        <v>1.468578</v>
      </c>
      <c r="N10" s="8">
        <f t="shared" si="0"/>
        <v>1.974118</v>
      </c>
      <c r="O10" s="8">
        <f t="shared" si="0"/>
        <v>2.492846</v>
      </c>
      <c r="P10" s="8">
        <f t="shared" si="2"/>
        <v>3.018796</v>
      </c>
      <c r="Q10" s="8">
        <f t="shared" si="3"/>
        <v>3.546001999999999</v>
      </c>
      <c r="R10" s="8">
        <f t="shared" si="4"/>
        <v>4.068811999999999</v>
      </c>
      <c r="S10" s="8">
        <f t="shared" si="5"/>
        <v>4.582202000000002</v>
      </c>
      <c r="T10" s="8">
        <f>($B10-SUM($C10:$K10))*(U34-T34)/100</f>
        <v>5.082403999999997</v>
      </c>
      <c r="U10" s="8">
        <f>($B10-SUM($C10:$K10))*(V34-U34)/100</f>
        <v>5.564394</v>
      </c>
      <c r="V10" s="2"/>
      <c r="W10" s="2"/>
      <c r="X10" s="2"/>
      <c r="Y10" s="1"/>
      <c r="Z10" s="1"/>
      <c r="AA10" s="1"/>
      <c r="AB10" s="1"/>
    </row>
    <row r="11" spans="1:28" ht="15.75">
      <c r="A11" s="18">
        <v>41183</v>
      </c>
      <c r="B11" s="27">
        <v>1027</v>
      </c>
      <c r="C11" s="19"/>
      <c r="D11" s="19"/>
      <c r="E11" s="19"/>
      <c r="F11" s="19"/>
      <c r="G11" s="19"/>
      <c r="H11" s="19"/>
      <c r="I11" s="19"/>
      <c r="J11" s="20">
        <v>1</v>
      </c>
      <c r="K11" s="20">
        <v>2</v>
      </c>
      <c r="L11" s="1">
        <f t="shared" si="1"/>
        <v>2</v>
      </c>
      <c r="M11" s="8">
        <f t="shared" si="0"/>
        <v>3.203072</v>
      </c>
      <c r="N11" s="8">
        <f t="shared" si="0"/>
        <v>4.774912</v>
      </c>
      <c r="O11" s="8">
        <f t="shared" si="0"/>
        <v>6.416383999999999</v>
      </c>
      <c r="P11" s="8">
        <f t="shared" si="2"/>
        <v>8.10496</v>
      </c>
      <c r="Q11" s="8">
        <f t="shared" si="3"/>
        <v>9.814016000000002</v>
      </c>
      <c r="R11" s="8">
        <f t="shared" si="4"/>
        <v>11.528191999999995</v>
      </c>
      <c r="S11" s="8">
        <f t="shared" si="5"/>
        <v>13.227008000000005</v>
      </c>
      <c r="T11" s="8">
        <f>($B11-SUM($C11:$K11))*(U35-T35)/100</f>
        <v>14.897151999999997</v>
      </c>
      <c r="U11" s="8">
        <f>($B11-SUM($C11:$K11))*(V35-U35)/100</f>
        <v>16.52224000000001</v>
      </c>
      <c r="V11" s="8">
        <f>($B11-SUM($C11:$K11))*(W35-V35)/100</f>
        <v>18.089983999999987</v>
      </c>
      <c r="W11" s="2"/>
      <c r="X11" s="2"/>
      <c r="Y11" s="1"/>
      <c r="Z11" s="1"/>
      <c r="AA11" s="1"/>
      <c r="AB11" s="1"/>
    </row>
    <row r="12" spans="1:28" ht="15.75">
      <c r="A12" s="18">
        <v>41214</v>
      </c>
      <c r="B12" s="27">
        <v>1216</v>
      </c>
      <c r="C12" s="19"/>
      <c r="D12" s="19"/>
      <c r="E12" s="19"/>
      <c r="F12" s="19"/>
      <c r="G12" s="19"/>
      <c r="H12" s="19"/>
      <c r="I12" s="19"/>
      <c r="J12" s="19"/>
      <c r="K12" s="20">
        <v>1</v>
      </c>
      <c r="L12" s="1">
        <f t="shared" si="1"/>
        <v>1</v>
      </c>
      <c r="M12" s="8">
        <f t="shared" si="0"/>
        <v>2.0667150000000003</v>
      </c>
      <c r="N12" s="8">
        <f t="shared" si="0"/>
        <v>3.794445</v>
      </c>
      <c r="O12" s="8">
        <f t="shared" si="0"/>
        <v>5.65461</v>
      </c>
      <c r="P12" s="8">
        <f t="shared" si="2"/>
        <v>7.601039999999999</v>
      </c>
      <c r="Q12" s="8">
        <f t="shared" si="3"/>
        <v>9.599715000000003</v>
      </c>
      <c r="R12" s="8">
        <f t="shared" si="4"/>
        <v>11.625119999999999</v>
      </c>
      <c r="S12" s="8">
        <f t="shared" si="5"/>
        <v>13.655385000000003</v>
      </c>
      <c r="T12" s="8">
        <f>($B12-SUM($C12:$K12))*(U36-T36)/100</f>
        <v>15.667424999999994</v>
      </c>
      <c r="U12" s="8">
        <f>($B12-SUM($C12:$K12))*(V36-U36)/100</f>
        <v>17.645445000000002</v>
      </c>
      <c r="V12" s="8">
        <f>($B12-SUM($C12:$K12))*(W36-V36)/100</f>
        <v>19.571219999999993</v>
      </c>
      <c r="W12" s="8">
        <f>($B12-SUM($C12:$K12))*(X36-W36)/100</f>
        <v>21.426525000000005</v>
      </c>
      <c r="X12" s="2"/>
      <c r="Y12" s="1"/>
      <c r="Z12" s="1"/>
      <c r="AA12" s="1"/>
      <c r="AB12" s="1"/>
    </row>
    <row r="13" spans="1:28" ht="15.75">
      <c r="A13" s="18">
        <v>41244</v>
      </c>
      <c r="B13" s="27">
        <v>1000</v>
      </c>
      <c r="C13" s="19"/>
      <c r="D13" s="19"/>
      <c r="E13" s="19"/>
      <c r="F13" s="19"/>
      <c r="G13" s="19"/>
      <c r="H13" s="19"/>
      <c r="I13" s="19"/>
      <c r="J13" s="19"/>
      <c r="L13" s="1">
        <f t="shared" si="1"/>
        <v>0</v>
      </c>
      <c r="M13" s="8">
        <f t="shared" si="0"/>
        <v>0.47300000000000003</v>
      </c>
      <c r="N13" s="8">
        <f t="shared" si="0"/>
        <v>1.6999999999999997</v>
      </c>
      <c r="O13" s="8">
        <f t="shared" si="0"/>
        <v>3.122</v>
      </c>
      <c r="P13" s="8">
        <f t="shared" si="2"/>
        <v>4.652</v>
      </c>
      <c r="Q13" s="8">
        <f t="shared" si="3"/>
        <v>6.253000000000001</v>
      </c>
      <c r="R13" s="8">
        <f t="shared" si="4"/>
        <v>7.898000000000001</v>
      </c>
      <c r="S13" s="8">
        <f t="shared" si="5"/>
        <v>9.562999999999997</v>
      </c>
      <c r="T13" s="8">
        <f>($B13-SUM($C13:$K13))*(U37-T37)/100</f>
        <v>11.232999999999999</v>
      </c>
      <c r="U13" s="8">
        <f>($B13-SUM($C13:$K13))*(V37-U37)/100</f>
        <v>12.889</v>
      </c>
      <c r="V13" s="8">
        <f>($B13-SUM($C13:$K13))*(W37-V37)/100</f>
        <v>14.515999999999998</v>
      </c>
      <c r="W13" s="8">
        <f>($B13-SUM($C13:$K13))*(X37-W37)/100</f>
        <v>16.1</v>
      </c>
      <c r="X13" s="8">
        <f>($B13-SUM($C13:$K13))*(Y37-X37)/100</f>
        <v>17.628000000000004</v>
      </c>
      <c r="Y13" s="1"/>
      <c r="Z13" s="1"/>
      <c r="AA13" s="1"/>
      <c r="AB13" s="1"/>
    </row>
    <row r="14" spans="1:28" ht="15.75">
      <c r="A14" s="18">
        <v>41275</v>
      </c>
      <c r="B14" s="27">
        <v>1000</v>
      </c>
      <c r="C14" s="19"/>
      <c r="D14" s="19"/>
      <c r="E14" s="19"/>
      <c r="F14" s="19"/>
      <c r="G14" s="19"/>
      <c r="H14" s="19"/>
      <c r="I14" s="19"/>
      <c r="J14" s="19"/>
      <c r="L14" s="1">
        <f t="shared" si="1"/>
        <v>0</v>
      </c>
      <c r="N14" s="13">
        <f aca="true" t="shared" si="6" ref="N14:X14">($B14-SUM($C14:$K14))*(N$37-M$37)/100</f>
        <v>0.47300000000000003</v>
      </c>
      <c r="O14" s="13">
        <f t="shared" si="6"/>
        <v>1.6999999999999997</v>
      </c>
      <c r="P14" s="13">
        <f t="shared" si="6"/>
        <v>3.122</v>
      </c>
      <c r="Q14" s="13">
        <f t="shared" si="6"/>
        <v>4.652</v>
      </c>
      <c r="R14" s="13">
        <f t="shared" si="6"/>
        <v>6.253000000000001</v>
      </c>
      <c r="S14" s="13">
        <f t="shared" si="6"/>
        <v>7.898000000000001</v>
      </c>
      <c r="T14" s="13">
        <f t="shared" si="6"/>
        <v>9.562999999999997</v>
      </c>
      <c r="U14" s="13">
        <f t="shared" si="6"/>
        <v>11.232999999999999</v>
      </c>
      <c r="V14" s="13">
        <f t="shared" si="6"/>
        <v>12.889</v>
      </c>
      <c r="W14" s="13">
        <f t="shared" si="6"/>
        <v>14.515999999999998</v>
      </c>
      <c r="X14" s="13">
        <f t="shared" si="6"/>
        <v>16.1</v>
      </c>
      <c r="Y14" s="2"/>
      <c r="Z14" s="1"/>
      <c r="AA14" s="1"/>
      <c r="AB14" s="1"/>
    </row>
    <row r="15" spans="1:28" ht="15.75">
      <c r="A15" s="18">
        <v>41306</v>
      </c>
      <c r="B15" s="27">
        <v>1000</v>
      </c>
      <c r="C15" s="19"/>
      <c r="D15" s="19"/>
      <c r="E15" s="19"/>
      <c r="F15" s="19"/>
      <c r="G15" s="19"/>
      <c r="H15" s="19"/>
      <c r="I15" s="19"/>
      <c r="J15" s="19"/>
      <c r="L15" s="1">
        <f t="shared" si="1"/>
        <v>0</v>
      </c>
      <c r="M15" s="1"/>
      <c r="O15" s="13">
        <f aca="true" t="shared" si="7" ref="O15:X15">($B15-SUM($C15:$K15))*(N$37-M$37)/100</f>
        <v>0.47300000000000003</v>
      </c>
      <c r="P15" s="13">
        <f t="shared" si="7"/>
        <v>1.6999999999999997</v>
      </c>
      <c r="Q15" s="13">
        <f t="shared" si="7"/>
        <v>3.122</v>
      </c>
      <c r="R15" s="13">
        <f t="shared" si="7"/>
        <v>4.652</v>
      </c>
      <c r="S15" s="13">
        <f t="shared" si="7"/>
        <v>6.253000000000001</v>
      </c>
      <c r="T15" s="13">
        <f t="shared" si="7"/>
        <v>7.898000000000001</v>
      </c>
      <c r="U15" s="13">
        <f t="shared" si="7"/>
        <v>9.562999999999997</v>
      </c>
      <c r="V15" s="13">
        <f t="shared" si="7"/>
        <v>11.232999999999999</v>
      </c>
      <c r="W15" s="13">
        <f t="shared" si="7"/>
        <v>12.889</v>
      </c>
      <c r="X15" s="13">
        <f t="shared" si="7"/>
        <v>14.515999999999998</v>
      </c>
      <c r="Y15" s="2"/>
      <c r="Z15" s="2"/>
      <c r="AA15" s="1"/>
      <c r="AB15" s="1"/>
    </row>
    <row r="16" spans="1:28" ht="15.75">
      <c r="A16" s="18">
        <v>41334</v>
      </c>
      <c r="B16" s="27">
        <v>1000</v>
      </c>
      <c r="C16" s="19"/>
      <c r="D16" s="19"/>
      <c r="E16" s="19"/>
      <c r="F16" s="19"/>
      <c r="G16" s="19"/>
      <c r="H16" s="19"/>
      <c r="I16" s="19"/>
      <c r="J16" s="19"/>
      <c r="L16" s="1">
        <f t="shared" si="1"/>
        <v>0</v>
      </c>
      <c r="M16" s="1"/>
      <c r="N16" s="1"/>
      <c r="P16" s="13">
        <f aca="true" t="shared" si="8" ref="P16:X16">($B16-SUM($C16:$K16))*(N$37-M$37)/100</f>
        <v>0.47300000000000003</v>
      </c>
      <c r="Q16" s="13">
        <f t="shared" si="8"/>
        <v>1.6999999999999997</v>
      </c>
      <c r="R16" s="13">
        <f t="shared" si="8"/>
        <v>3.122</v>
      </c>
      <c r="S16" s="13">
        <f t="shared" si="8"/>
        <v>4.652</v>
      </c>
      <c r="T16" s="13">
        <f t="shared" si="8"/>
        <v>6.253000000000001</v>
      </c>
      <c r="U16" s="13">
        <f t="shared" si="8"/>
        <v>7.898000000000001</v>
      </c>
      <c r="V16" s="13">
        <f t="shared" si="8"/>
        <v>9.562999999999997</v>
      </c>
      <c r="W16" s="13">
        <f t="shared" si="8"/>
        <v>11.232999999999999</v>
      </c>
      <c r="X16" s="13">
        <f t="shared" si="8"/>
        <v>12.889</v>
      </c>
      <c r="Y16" s="2"/>
      <c r="Z16" s="2"/>
      <c r="AA16" s="2"/>
      <c r="AB16" s="1"/>
    </row>
    <row r="17" spans="1:28" ht="15.75">
      <c r="A17" s="18">
        <v>41365</v>
      </c>
      <c r="B17" s="27">
        <v>1000</v>
      </c>
      <c r="C17" s="19"/>
      <c r="D17" s="19"/>
      <c r="E17" s="19"/>
      <c r="F17" s="19"/>
      <c r="G17" s="19"/>
      <c r="H17" s="19"/>
      <c r="I17" s="19"/>
      <c r="J17" s="19"/>
      <c r="L17" s="1">
        <f t="shared" si="1"/>
        <v>0</v>
      </c>
      <c r="Q17" s="13">
        <f aca="true" t="shared" si="9" ref="Q17:X17">($B17-SUM($C17:$K17))*(N$37-M$37)/100</f>
        <v>0.47300000000000003</v>
      </c>
      <c r="R17" s="13">
        <f t="shared" si="9"/>
        <v>1.6999999999999997</v>
      </c>
      <c r="S17" s="13">
        <f t="shared" si="9"/>
        <v>3.122</v>
      </c>
      <c r="T17" s="13">
        <f t="shared" si="9"/>
        <v>4.652</v>
      </c>
      <c r="U17" s="13">
        <f t="shared" si="9"/>
        <v>6.253000000000001</v>
      </c>
      <c r="V17" s="13">
        <f t="shared" si="9"/>
        <v>7.898000000000001</v>
      </c>
      <c r="W17" s="13">
        <f t="shared" si="9"/>
        <v>9.562999999999997</v>
      </c>
      <c r="X17" s="13">
        <f t="shared" si="9"/>
        <v>11.232999999999999</v>
      </c>
      <c r="Y17" s="2"/>
      <c r="Z17" s="2"/>
      <c r="AA17" s="2"/>
      <c r="AB17" s="2"/>
    </row>
    <row r="18" spans="1:29" ht="15.75">
      <c r="A18" s="18">
        <v>41395</v>
      </c>
      <c r="B18" s="27">
        <v>1000</v>
      </c>
      <c r="C18" s="19"/>
      <c r="D18" s="19"/>
      <c r="E18" s="19"/>
      <c r="F18" s="19"/>
      <c r="G18" s="19"/>
      <c r="H18" s="19"/>
      <c r="I18" s="19"/>
      <c r="J18" s="19"/>
      <c r="L18" s="1">
        <f t="shared" si="1"/>
        <v>0</v>
      </c>
      <c r="R18" s="13">
        <f aca="true" t="shared" si="10" ref="R18:X18">($B18-SUM($C18:$K18))*(N$37-M$37)/100</f>
        <v>0.47300000000000003</v>
      </c>
      <c r="S18" s="13">
        <f t="shared" si="10"/>
        <v>1.6999999999999997</v>
      </c>
      <c r="T18" s="13">
        <f t="shared" si="10"/>
        <v>3.122</v>
      </c>
      <c r="U18" s="13">
        <f t="shared" si="10"/>
        <v>4.652</v>
      </c>
      <c r="V18" s="13">
        <f t="shared" si="10"/>
        <v>6.253000000000001</v>
      </c>
      <c r="W18" s="13">
        <f t="shared" si="10"/>
        <v>7.898000000000001</v>
      </c>
      <c r="X18" s="13">
        <f t="shared" si="10"/>
        <v>9.562999999999997</v>
      </c>
      <c r="Y18" s="2"/>
      <c r="Z18" s="2"/>
      <c r="AA18" s="2"/>
      <c r="AB18" s="2"/>
      <c r="AC18" s="2"/>
    </row>
    <row r="19" spans="1:30" ht="15.75">
      <c r="A19" s="18">
        <v>41426</v>
      </c>
      <c r="B19" s="27">
        <v>1000</v>
      </c>
      <c r="C19" s="19"/>
      <c r="D19" s="19"/>
      <c r="E19" s="19"/>
      <c r="F19" s="19"/>
      <c r="G19" s="19"/>
      <c r="H19" s="19"/>
      <c r="I19" s="19"/>
      <c r="J19" s="19"/>
      <c r="L19" s="1">
        <f t="shared" si="1"/>
        <v>0</v>
      </c>
      <c r="S19" s="13">
        <f aca="true" t="shared" si="11" ref="S19:X19">($B19-SUM($C19:$K19))*(N$37-M$37)/100</f>
        <v>0.47300000000000003</v>
      </c>
      <c r="T19" s="13">
        <f t="shared" si="11"/>
        <v>1.6999999999999997</v>
      </c>
      <c r="U19" s="13">
        <f t="shared" si="11"/>
        <v>3.122</v>
      </c>
      <c r="V19" s="13">
        <f t="shared" si="11"/>
        <v>4.652</v>
      </c>
      <c r="W19" s="13">
        <f t="shared" si="11"/>
        <v>6.253000000000001</v>
      </c>
      <c r="X19" s="13">
        <f t="shared" si="11"/>
        <v>7.898000000000001</v>
      </c>
      <c r="Y19" s="2"/>
      <c r="Z19" s="2"/>
      <c r="AA19" s="2"/>
      <c r="AB19" s="2"/>
      <c r="AC19" s="2"/>
      <c r="AD19" s="2"/>
    </row>
    <row r="20" spans="1:31" ht="15.75">
      <c r="A20" s="18">
        <v>41456</v>
      </c>
      <c r="B20" s="27">
        <v>1000</v>
      </c>
      <c r="C20" s="19"/>
      <c r="D20" s="19"/>
      <c r="E20" s="19"/>
      <c r="F20" s="19"/>
      <c r="G20" s="19"/>
      <c r="H20" s="19"/>
      <c r="I20" s="19"/>
      <c r="J20" s="19"/>
      <c r="L20" s="1">
        <f t="shared" si="1"/>
        <v>0</v>
      </c>
      <c r="T20" s="13">
        <f>($B20-SUM($C20:$K20))*(N$37-M$37)/100</f>
        <v>0.47300000000000003</v>
      </c>
      <c r="U20" s="13">
        <f>($B20-SUM($C20:$K20))*(O$37-N$37)/100</f>
        <v>1.6999999999999997</v>
      </c>
      <c r="V20" s="13">
        <f>($B20-SUM($C20:$K20))*(P$37-O$37)/100</f>
        <v>3.122</v>
      </c>
      <c r="W20" s="13">
        <f>($B20-SUM($C20:$K20))*(Q$37-P$37)/100</f>
        <v>4.652</v>
      </c>
      <c r="X20" s="13">
        <f>($B20-SUM($C20:$K20))*(R$37-Q$37)/100</f>
        <v>6.253000000000001</v>
      </c>
      <c r="Y20" s="2"/>
      <c r="Z20" s="2"/>
      <c r="AA20" s="2"/>
      <c r="AB20" s="2"/>
      <c r="AC20" s="2"/>
      <c r="AD20" s="2"/>
      <c r="AE20" s="2"/>
    </row>
    <row r="21" spans="1:32" ht="15.75">
      <c r="A21" s="18">
        <v>41487</v>
      </c>
      <c r="B21" s="27">
        <v>1000</v>
      </c>
      <c r="C21" s="19"/>
      <c r="D21" s="19"/>
      <c r="E21" s="19"/>
      <c r="F21" s="19"/>
      <c r="G21" s="19"/>
      <c r="H21" s="19"/>
      <c r="I21" s="19"/>
      <c r="J21" s="19"/>
      <c r="L21" s="1">
        <f t="shared" si="1"/>
        <v>0</v>
      </c>
      <c r="U21" s="13">
        <f>($B21-SUM($C21:$K21))*(N$37-M$37)/100</f>
        <v>0.47300000000000003</v>
      </c>
      <c r="V21" s="13">
        <f>($B21-SUM($C21:$K21))*(O$37-N$37)/100</f>
        <v>1.6999999999999997</v>
      </c>
      <c r="W21" s="13">
        <f>($B21-SUM($C21:$K21))*(P$37-O$37)/100</f>
        <v>3.122</v>
      </c>
      <c r="X21" s="13">
        <f>($B21-SUM($C21:$K21))*(Q$37-P$37)/100</f>
        <v>4.652</v>
      </c>
      <c r="Y21" s="2"/>
      <c r="Z21" s="2"/>
      <c r="AA21" s="2"/>
      <c r="AB21" s="2"/>
      <c r="AC21" s="2"/>
      <c r="AD21" s="2"/>
      <c r="AE21" s="2"/>
      <c r="AF21" s="2"/>
    </row>
    <row r="22" spans="1:33" ht="15.75">
      <c r="A22" s="18">
        <v>41518</v>
      </c>
      <c r="B22" s="27">
        <v>1000</v>
      </c>
      <c r="C22" s="19"/>
      <c r="D22" s="19"/>
      <c r="E22" s="19"/>
      <c r="F22" s="19"/>
      <c r="G22" s="19"/>
      <c r="H22" s="19"/>
      <c r="I22" s="19"/>
      <c r="J22" s="19"/>
      <c r="L22" s="1">
        <f t="shared" si="1"/>
        <v>0</v>
      </c>
      <c r="V22" s="13">
        <f>($B22-SUM($C22:$K22))*(N$37-M$37)/100</f>
        <v>0.47300000000000003</v>
      </c>
      <c r="W22" s="13">
        <f>($B22-SUM($C22:$K22))*(O$37-N$37)/100</f>
        <v>1.6999999999999997</v>
      </c>
      <c r="X22" s="13">
        <f>($B22-SUM($C22:$K22))*(P$37-O$37)/100</f>
        <v>3.122</v>
      </c>
      <c r="Y22" s="2"/>
      <c r="Z22" s="2"/>
      <c r="AA22" s="2"/>
      <c r="AB22" s="2"/>
      <c r="AC22" s="2"/>
      <c r="AD22" s="2"/>
      <c r="AE22" s="2"/>
      <c r="AF22" s="2"/>
      <c r="AG22" s="2"/>
    </row>
    <row r="23" spans="1:34" ht="15.75">
      <c r="A23" s="18">
        <v>41548</v>
      </c>
      <c r="B23" s="27">
        <v>1000</v>
      </c>
      <c r="C23" s="19"/>
      <c r="D23" s="19"/>
      <c r="E23" s="19"/>
      <c r="F23" s="19"/>
      <c r="G23" s="19"/>
      <c r="H23" s="19"/>
      <c r="I23" s="19"/>
      <c r="J23" s="19"/>
      <c r="L23" s="1">
        <f t="shared" si="1"/>
        <v>0</v>
      </c>
      <c r="W23" s="13">
        <f>($B23-SUM($C23:$K23))*(N$37-M$37)/100</f>
        <v>0.47300000000000003</v>
      </c>
      <c r="X23" s="13">
        <f>($B23-SUM($C23:$K23))*(O$37-N$37)/100</f>
        <v>1.6999999999999997</v>
      </c>
      <c r="Y23" s="2"/>
      <c r="Z23" s="2"/>
      <c r="AA23" s="2"/>
      <c r="AB23" s="2"/>
      <c r="AC23" s="2"/>
      <c r="AD23" s="2"/>
      <c r="AE23" s="2"/>
      <c r="AF23" s="2"/>
      <c r="AG23" s="2"/>
      <c r="AH23" s="2"/>
    </row>
    <row r="24" spans="1:35" ht="16.5" thickBot="1">
      <c r="A24" s="21">
        <v>41579</v>
      </c>
      <c r="B24" s="28">
        <v>1000</v>
      </c>
      <c r="C24" s="23"/>
      <c r="D24" s="23"/>
      <c r="E24" s="23"/>
      <c r="F24" s="23"/>
      <c r="G24" s="23"/>
      <c r="H24" s="23"/>
      <c r="I24" s="23"/>
      <c r="J24" s="23"/>
      <c r="K24" s="23"/>
      <c r="L24" s="1">
        <f t="shared" si="1"/>
        <v>0</v>
      </c>
      <c r="M24" s="9"/>
      <c r="N24" s="9"/>
      <c r="O24" s="9"/>
      <c r="P24" s="9"/>
      <c r="Q24" s="9"/>
      <c r="R24" s="9"/>
      <c r="S24" s="9"/>
      <c r="T24" s="9"/>
      <c r="U24" s="9"/>
      <c r="V24" s="9"/>
      <c r="W24" s="9"/>
      <c r="X24" s="14">
        <f>($B24-SUM($C24:$K24))*(N$37-M$37)/100</f>
        <v>0.47300000000000003</v>
      </c>
      <c r="Y24" s="2"/>
      <c r="Z24" s="2"/>
      <c r="AA24" s="2"/>
      <c r="AB24" s="2"/>
      <c r="AC24" s="2"/>
      <c r="AD24" s="2"/>
      <c r="AE24" s="2"/>
      <c r="AF24" s="2"/>
      <c r="AG24" s="2"/>
      <c r="AH24" s="2"/>
      <c r="AI24" s="2"/>
    </row>
    <row r="25" spans="2:35" ht="15.75">
      <c r="B25" s="27" t="s">
        <v>19</v>
      </c>
      <c r="C25" s="20">
        <f>SUM(C4:C24)</f>
        <v>1</v>
      </c>
      <c r="D25" s="20">
        <f aca="true" t="shared" si="12" ref="D25:K25">SUM(D4:D24)</f>
        <v>2</v>
      </c>
      <c r="E25" s="20">
        <f t="shared" si="12"/>
        <v>4</v>
      </c>
      <c r="F25" s="20">
        <f t="shared" si="12"/>
        <v>7</v>
      </c>
      <c r="G25" s="20">
        <f t="shared" si="12"/>
        <v>12</v>
      </c>
      <c r="H25" s="20">
        <f t="shared" si="12"/>
        <v>16</v>
      </c>
      <c r="I25" s="20">
        <f t="shared" si="12"/>
        <v>19</v>
      </c>
      <c r="J25" s="20">
        <f t="shared" si="12"/>
        <v>27</v>
      </c>
      <c r="K25" s="20">
        <f t="shared" si="12"/>
        <v>32</v>
      </c>
      <c r="M25" s="30">
        <f>SUM(M4:M24)</f>
        <v>46.183246999999994</v>
      </c>
      <c r="N25" s="30">
        <f aca="true" t="shared" si="13" ref="N25:W25">SUM(N4:N24)</f>
        <v>57.884384</v>
      </c>
      <c r="O25" s="30">
        <f t="shared" si="13"/>
        <v>71.147784</v>
      </c>
      <c r="P25" s="30">
        <f t="shared" si="13"/>
        <v>77.589755</v>
      </c>
      <c r="Q25" s="30">
        <f t="shared" si="13"/>
        <v>77.41570700000001</v>
      </c>
      <c r="R25" s="30">
        <f t="shared" si="13"/>
        <v>85.98047500000001</v>
      </c>
      <c r="S25" s="30">
        <f t="shared" si="13"/>
        <v>84.79124900000001</v>
      </c>
      <c r="T25" s="30">
        <f t="shared" si="13"/>
        <v>88.14328899999998</v>
      </c>
      <c r="U25" s="30">
        <f t="shared" si="13"/>
        <v>97.515079</v>
      </c>
      <c r="V25" s="30">
        <f t="shared" si="13"/>
        <v>109.96020399999999</v>
      </c>
      <c r="W25" s="30">
        <f t="shared" si="13"/>
        <v>109.82552500000001</v>
      </c>
      <c r="X25" s="30">
        <f>SUM(X4:X24)</f>
        <v>106.02700000000002</v>
      </c>
      <c r="Y25" s="12"/>
      <c r="Z25" s="12"/>
      <c r="AA25" s="12"/>
      <c r="AB25" s="12"/>
      <c r="AC25" s="12"/>
      <c r="AD25" s="12"/>
      <c r="AE25" s="12"/>
      <c r="AF25" s="12"/>
      <c r="AG25" s="12"/>
      <c r="AH25" s="12"/>
      <c r="AI25" s="12"/>
    </row>
    <row r="26" spans="3:25" ht="15.75">
      <c r="C26" s="22"/>
      <c r="D26" s="22"/>
      <c r="E26" s="22"/>
      <c r="F26" s="22"/>
      <c r="G26" s="22"/>
      <c r="H26" s="22"/>
      <c r="I26" s="22"/>
      <c r="J26" s="22"/>
      <c r="K26" s="22"/>
      <c r="M26" s="1"/>
      <c r="N26" s="1"/>
      <c r="O26" s="1"/>
      <c r="P26" s="1"/>
      <c r="Q26" s="1"/>
      <c r="R26" s="1"/>
      <c r="S26" s="1"/>
      <c r="T26" s="1"/>
      <c r="U26" s="1"/>
      <c r="V26" s="1"/>
      <c r="W26" s="1"/>
      <c r="X26" s="1"/>
      <c r="Y26" s="1"/>
    </row>
    <row r="27" spans="12:25" ht="76.5">
      <c r="L27" s="32" t="s">
        <v>5</v>
      </c>
      <c r="M27" s="32" t="s">
        <v>21</v>
      </c>
      <c r="N27" s="32" t="s">
        <v>6</v>
      </c>
      <c r="O27" s="32" t="s">
        <v>7</v>
      </c>
      <c r="P27" s="32" t="s">
        <v>8</v>
      </c>
      <c r="Q27" s="32" t="s">
        <v>9</v>
      </c>
      <c r="R27" s="32" t="s">
        <v>10</v>
      </c>
      <c r="S27" s="32" t="s">
        <v>11</v>
      </c>
      <c r="T27" s="32" t="s">
        <v>12</v>
      </c>
      <c r="U27" s="32" t="s">
        <v>13</v>
      </c>
      <c r="V27" s="32" t="s">
        <v>14</v>
      </c>
      <c r="W27" s="32" t="s">
        <v>15</v>
      </c>
      <c r="X27" s="32" t="s">
        <v>16</v>
      </c>
      <c r="Y27" s="32" t="s">
        <v>17</v>
      </c>
    </row>
    <row r="28" spans="6:25" ht="15.75">
      <c r="F28" s="36"/>
      <c r="L28" s="33">
        <v>9</v>
      </c>
      <c r="M28" s="31">
        <v>0</v>
      </c>
      <c r="N28" s="31">
        <v>1.5406</v>
      </c>
      <c r="O28" s="31">
        <v>3.2494</v>
      </c>
      <c r="P28" s="31">
        <v>5.1202</v>
      </c>
      <c r="Q28" s="31">
        <v>7.1459</v>
      </c>
      <c r="R28" s="31">
        <v>9.3178</v>
      </c>
      <c r="S28" s="31">
        <v>11.6264</v>
      </c>
      <c r="T28" s="31">
        <v>14.0611</v>
      </c>
      <c r="U28" s="31">
        <v>16.6103</v>
      </c>
      <c r="V28" s="31">
        <v>19.262</v>
      </c>
      <c r="W28" s="31">
        <v>22.0034</v>
      </c>
      <c r="X28" s="31">
        <v>24.8212</v>
      </c>
      <c r="Y28" s="31">
        <v>27.702</v>
      </c>
    </row>
    <row r="29" spans="12:25" ht="15.75">
      <c r="L29" s="33">
        <v>8</v>
      </c>
      <c r="M29" s="31">
        <v>0</v>
      </c>
      <c r="N29" s="31">
        <v>1.3495</v>
      </c>
      <c r="O29" s="31">
        <v>2.8693</v>
      </c>
      <c r="P29" s="31">
        <v>4.555</v>
      </c>
      <c r="Q29" s="31">
        <v>6.4006</v>
      </c>
      <c r="R29" s="31">
        <v>8.3989</v>
      </c>
      <c r="S29" s="31">
        <v>10.5416</v>
      </c>
      <c r="T29" s="31">
        <v>12.819</v>
      </c>
      <c r="U29" s="31">
        <v>15.2208</v>
      </c>
      <c r="V29" s="31">
        <v>17.7357</v>
      </c>
      <c r="W29" s="31">
        <v>20.3516</v>
      </c>
      <c r="X29" s="31">
        <v>23.0559</v>
      </c>
      <c r="Y29" s="31">
        <v>25.8357</v>
      </c>
    </row>
    <row r="30" spans="1:25" ht="18.75">
      <c r="A30" s="24"/>
      <c r="L30" s="33">
        <v>7</v>
      </c>
      <c r="M30" s="31">
        <v>0</v>
      </c>
      <c r="N30" s="31">
        <v>1.1624</v>
      </c>
      <c r="O30" s="31">
        <v>2.4962</v>
      </c>
      <c r="P30" s="31">
        <v>3.9984</v>
      </c>
      <c r="Q30" s="31">
        <v>5.6645</v>
      </c>
      <c r="R30" s="31">
        <v>7.4886</v>
      </c>
      <c r="S30" s="31">
        <v>9.4637</v>
      </c>
      <c r="T30" s="31">
        <v>11.5815</v>
      </c>
      <c r="U30" s="31">
        <v>13.8324</v>
      </c>
      <c r="V30" s="31">
        <v>16.2063</v>
      </c>
      <c r="W30" s="31">
        <v>18.6919</v>
      </c>
      <c r="X30" s="31">
        <v>21.2774</v>
      </c>
      <c r="Y30" s="31">
        <v>23.9504</v>
      </c>
    </row>
    <row r="31" spans="1:25" ht="18.75">
      <c r="A31" s="25"/>
      <c r="L31" s="33">
        <v>6</v>
      </c>
      <c r="M31" s="31">
        <v>0</v>
      </c>
      <c r="N31" s="31">
        <v>0.98</v>
      </c>
      <c r="O31" s="31">
        <v>2.131</v>
      </c>
      <c r="P31" s="31">
        <v>3.4517</v>
      </c>
      <c r="Q31" s="31">
        <v>4.9392</v>
      </c>
      <c r="R31" s="31">
        <v>6.5889</v>
      </c>
      <c r="S31" s="31">
        <v>8.3952</v>
      </c>
      <c r="T31" s="31">
        <v>10.351</v>
      </c>
      <c r="U31" s="31">
        <v>12.4479</v>
      </c>
      <c r="V31" s="31">
        <v>14.6768</v>
      </c>
      <c r="W31" s="31">
        <v>17.0274</v>
      </c>
      <c r="X31" s="31">
        <v>19.4887</v>
      </c>
      <c r="Y31" s="31">
        <v>22.0489</v>
      </c>
    </row>
    <row r="32" spans="12:25" ht="15.75">
      <c r="L32" s="33">
        <v>5</v>
      </c>
      <c r="M32" s="31">
        <v>0</v>
      </c>
      <c r="N32" s="31">
        <v>0.8027</v>
      </c>
      <c r="O32" s="31">
        <v>1.7749</v>
      </c>
      <c r="P32" s="31">
        <v>2.9166</v>
      </c>
      <c r="Q32" s="31">
        <v>4.2268</v>
      </c>
      <c r="R32" s="31">
        <v>5.7023</v>
      </c>
      <c r="S32" s="31">
        <v>7.3388</v>
      </c>
      <c r="T32" s="31">
        <v>9.1306</v>
      </c>
      <c r="U32" s="31">
        <v>11.0706</v>
      </c>
      <c r="V32" s="31">
        <v>13.1508</v>
      </c>
      <c r="W32" s="31">
        <v>15.3618</v>
      </c>
      <c r="X32" s="31">
        <v>17.6935</v>
      </c>
      <c r="Y32" s="31">
        <v>20.135</v>
      </c>
    </row>
    <row r="33" spans="12:25" ht="15.75">
      <c r="L33" s="33">
        <v>4</v>
      </c>
      <c r="M33" s="31">
        <v>0</v>
      </c>
      <c r="N33" s="31">
        <v>0.6316</v>
      </c>
      <c r="O33" s="31">
        <v>1.4293</v>
      </c>
      <c r="P33" s="31">
        <v>2.3952</v>
      </c>
      <c r="Q33" s="31">
        <v>3.5298</v>
      </c>
      <c r="R33" s="31">
        <v>4.8317</v>
      </c>
      <c r="S33" s="31">
        <v>6.2979</v>
      </c>
      <c r="T33" s="31">
        <v>7.9241</v>
      </c>
      <c r="U33" s="31">
        <v>9.7045</v>
      </c>
      <c r="V33" s="31">
        <v>11.6323</v>
      </c>
      <c r="W33" s="31">
        <v>13.6993</v>
      </c>
      <c r="X33" s="31">
        <v>15.8963</v>
      </c>
      <c r="Y33" s="31">
        <v>18.2134</v>
      </c>
    </row>
    <row r="34" spans="12:25" ht="15.75">
      <c r="L34" s="33">
        <v>3</v>
      </c>
      <c r="M34" s="31">
        <v>0</v>
      </c>
      <c r="N34" s="31">
        <v>0.4677</v>
      </c>
      <c r="O34" s="31">
        <v>1.0964</v>
      </c>
      <c r="P34" s="31">
        <v>1.8903</v>
      </c>
      <c r="Q34" s="31">
        <v>2.8517</v>
      </c>
      <c r="R34" s="31">
        <v>3.981</v>
      </c>
      <c r="S34" s="31">
        <v>5.2768</v>
      </c>
      <c r="T34" s="31">
        <v>6.7361</v>
      </c>
      <c r="U34" s="31">
        <v>8.3547</v>
      </c>
      <c r="V34" s="31">
        <v>10.1268</v>
      </c>
      <c r="W34" s="31">
        <v>12.0456</v>
      </c>
      <c r="X34" s="31">
        <v>14.1029</v>
      </c>
      <c r="Y34" s="31">
        <v>16.2897</v>
      </c>
    </row>
    <row r="35" spans="12:25" ht="15.75">
      <c r="L35" s="33">
        <v>2</v>
      </c>
      <c r="M35" s="31">
        <v>0</v>
      </c>
      <c r="N35" s="31">
        <v>0.3128</v>
      </c>
      <c r="O35" s="31">
        <v>0.7791</v>
      </c>
      <c r="P35" s="31">
        <v>1.4057</v>
      </c>
      <c r="Q35" s="31">
        <v>2.1972</v>
      </c>
      <c r="R35" s="31">
        <v>3.1556</v>
      </c>
      <c r="S35" s="31">
        <v>4.2814</v>
      </c>
      <c r="T35" s="31">
        <v>5.5731</v>
      </c>
      <c r="U35" s="31">
        <v>7.0279</v>
      </c>
      <c r="V35" s="31">
        <v>8.6414</v>
      </c>
      <c r="W35" s="31">
        <v>10.408</v>
      </c>
      <c r="X35" s="31">
        <v>12.3207</v>
      </c>
      <c r="Y35" s="31">
        <v>14.3716</v>
      </c>
    </row>
    <row r="36" spans="12:25" ht="15.75">
      <c r="L36" s="33">
        <v>1</v>
      </c>
      <c r="M36" s="31">
        <v>0</v>
      </c>
      <c r="N36" s="31">
        <v>0.1701</v>
      </c>
      <c r="O36" s="31">
        <v>0.4824</v>
      </c>
      <c r="P36" s="31">
        <v>0.9478</v>
      </c>
      <c r="Q36" s="31">
        <v>1.5734</v>
      </c>
      <c r="R36" s="31">
        <v>2.3635</v>
      </c>
      <c r="S36" s="31">
        <v>3.3203</v>
      </c>
      <c r="T36" s="31">
        <v>4.4442</v>
      </c>
      <c r="U36" s="31">
        <v>5.7337</v>
      </c>
      <c r="V36" s="31">
        <v>7.186</v>
      </c>
      <c r="W36" s="31">
        <v>8.7968</v>
      </c>
      <c r="X36" s="31">
        <v>10.5603</v>
      </c>
      <c r="Y36" s="31">
        <v>12.4699</v>
      </c>
    </row>
    <row r="37" spans="12:25" ht="15.75">
      <c r="L37" s="33">
        <v>0</v>
      </c>
      <c r="M37" s="31">
        <v>0</v>
      </c>
      <c r="N37" s="31">
        <v>0.0473</v>
      </c>
      <c r="O37" s="31">
        <v>0.2173</v>
      </c>
      <c r="P37" s="31">
        <v>0.5295</v>
      </c>
      <c r="Q37" s="31">
        <v>0.9947</v>
      </c>
      <c r="R37" s="31">
        <v>1.62</v>
      </c>
      <c r="S37" s="31">
        <v>2.4098</v>
      </c>
      <c r="T37" s="31">
        <v>3.3661</v>
      </c>
      <c r="U37" s="31">
        <v>4.4894</v>
      </c>
      <c r="V37" s="31">
        <v>5.7783</v>
      </c>
      <c r="W37" s="31">
        <v>7.2299</v>
      </c>
      <c r="X37" s="31">
        <v>8.8399</v>
      </c>
      <c r="Y37" s="31">
        <v>10.6027</v>
      </c>
    </row>
    <row r="38" ht="15.75"/>
    <row r="39" ht="15.75"/>
    <row r="40" ht="15.75"/>
    <row r="41" ht="15.75"/>
    <row r="42" ht="15.75"/>
    <row r="43" ht="15.75"/>
    <row r="44" ht="15.75"/>
    <row r="45" ht="15.75"/>
    <row r="46" ht="15.75"/>
    <row r="47" ht="15.75"/>
    <row r="48" ht="15.75"/>
    <row r="49" ht="15.75"/>
    <row r="50" ht="15.75"/>
    <row r="51" ht="15.75"/>
    <row r="52" ht="15.75"/>
    <row r="53" ht="15.75"/>
    <row r="54" ht="15.75"/>
    <row r="55" ht="15.75"/>
    <row r="56" ht="15.75"/>
    <row r="57" ht="15.75"/>
    <row r="58" ht="15.75"/>
    <row r="59" ht="15.75"/>
    <row r="60" ht="15.75"/>
    <row r="61" ht="15.75">
      <c r="B61"/>
    </row>
    <row r="62" spans="13:33" ht="15.75">
      <c r="M62" s="12"/>
      <c r="N62" s="12"/>
      <c r="O62" s="12"/>
      <c r="P62" s="12"/>
      <c r="Q62" s="12"/>
      <c r="R62" s="12"/>
      <c r="S62" s="12"/>
      <c r="T62" s="12"/>
      <c r="U62" s="12"/>
      <c r="V62" s="12"/>
      <c r="W62" s="12"/>
      <c r="X62" s="12"/>
      <c r="Y62" s="12"/>
      <c r="Z62" s="12"/>
      <c r="AA62" s="12"/>
      <c r="AB62" s="12"/>
      <c r="AC62" s="12"/>
      <c r="AD62" s="12"/>
      <c r="AE62" s="12"/>
      <c r="AF62" s="12"/>
      <c r="AG62" s="12"/>
    </row>
    <row r="63" ht="15.75"/>
    <row r="64" ht="15.75"/>
    <row r="65" ht="15.75"/>
    <row r="66" ht="15.75"/>
    <row r="67" ht="15.75"/>
    <row r="68" ht="15.75"/>
    <row r="69" ht="15.75"/>
    <row r="70" ht="15.75"/>
    <row r="71" ht="15.75"/>
    <row r="72" ht="15.75"/>
    <row r="73" ht="15.75"/>
    <row r="74" ht="15.75"/>
    <row r="75" ht="15.75"/>
    <row r="76" ht="15.75"/>
    <row r="77" ht="15.75"/>
    <row r="78" ht="15.75"/>
    <row r="79" ht="15.75"/>
  </sheetData>
  <sheetProtection/>
  <mergeCells count="3">
    <mergeCell ref="C2:K2"/>
    <mergeCell ref="M2:X2"/>
    <mergeCell ref="A1:X1"/>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Reliability Analytics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Seymour Morris</dc:creator>
  <cp:keywords/>
  <dc:description/>
  <cp:lastModifiedBy>Seymour Morris</cp:lastModifiedBy>
  <dcterms:created xsi:type="dcterms:W3CDTF">2016-08-24T22:16:48Z</dcterms:created>
  <dcterms:modified xsi:type="dcterms:W3CDTF">2020-02-24T03:44:08Z</dcterms:modified>
  <cp:category/>
  <cp:version/>
  <cp:contentType/>
  <cp:contentStatus/>
</cp:coreProperties>
</file>